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ZR 2020\Konsolidacija 2020\"/>
    </mc:Choice>
  </mc:AlternateContent>
  <bookViews>
    <workbookView xWindow="0" yWindow="0" windowWidth="23970" windowHeight="393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24" i="19" l="1"/>
  <c r="I76" i="18"/>
  <c r="I18" i="19"/>
  <c r="I12" i="19"/>
  <c r="I126" i="18"/>
  <c r="I125" i="18"/>
  <c r="I123" i="18"/>
  <c r="I91" i="18"/>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<sst xmlns="http://schemas.openxmlformats.org/spreadsheetml/2006/main" count="510" uniqueCount="448">
  <si>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</si>
  <si>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</si>
  <si>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</si>
  <si>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</si>
  <si>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</si>
  <si>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</si>
  <si>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</si>
  <si>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</si>
  <si>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</si>
  <si>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</si>
  <si>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</si>
  <si>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</si>
  <si>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</si>
  <si>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</si>
  <si>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</si>
  <si>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</si>
  <si>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</si>
  <si>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</si>
  <si>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</si>
  <si>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</si>
  <si>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</si>
  <si>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</si>
  <si>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</si>
  <si>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</si>
  <si>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</si>
  <si>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</si>
  <si>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</si>
  <si>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</si>
  <si>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</si>
  <si>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</si>
  <si>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</si>
  <si>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</si>
  <si>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</si>
  <si>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</si>
  <si>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</si>
  <si>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</si>
  <si>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</si>
  <si>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</si>
  <si>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</si>
  <si>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</si>
  <si>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</si>
  <si>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</si>
  <si>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</si>
  <si>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</si>
  <si>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</si>
  <si>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</si>
  <si>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</si>
  <si>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</si>
  <si>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</si>
  <si>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</si>
  <si>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</si>
  <si>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</si>
  <si>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</si>
  <si>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</si>
  <si>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</si>
  <si>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</si>
  <si>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</si>
  <si>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</si>
  <si>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</si>
  <si>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</si>
  <si>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</si>
  <si>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</si>
  <si>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</si>
  <si>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</si>
  <si>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</si>
  <si>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</si>
  <si>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</si>
  <si>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</si>
  <si>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</si>
  <si>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</si>
  <si>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</si>
  <si>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</si>
  <si>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</si>
  <si>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</si>
  <si>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</si>
  <si>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</si>
  <si>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</si>
  <si>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</si>
  <si>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</si>
  <si>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</si>
  <si>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</si>
  <si>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</si>
  <si>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</si>
  <si>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</si>
  <si>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</si>
  <si>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</si>
  <si>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</si>
  <si>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</si>
  <si>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</si>
  <si>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</si>
  <si>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</si>
  <si>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</si>
  <si>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</si>
  <si>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</si>
  <si>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</si>
  <si>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</si>
  <si>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</si>
  <si>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</si>
  <si>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</si>
  <si>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</si>
  <si>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</si>
  <si>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</si>
  <si>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</si>
  <si>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</si>
  <si>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</si>
  <si>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</si>
  <si>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</si>
  <si>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</si>
  <si>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</si>
  <si>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</si>
  <si>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</si>
  <si>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</si>
  <si>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</si>
  <si>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</si>
  <si>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</si>
  <si>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</si>
  <si>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</si>
  <si>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</si>
  <si>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</si>
  <si>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</si>
  <si>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</si>
  <si>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</si>
  <si>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</si>
  <si>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</si>
  <si>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</si>
  <si>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</si>
  <si>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</si>
  <si>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</si>
  <si>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</si>
  <si>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</si>
  <si>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</si>
  <si>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</si>
  <si>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</si>
  <si>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</si>
  <si>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</si>
  <si>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</si>
  <si>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</si>
  <si>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</si>
  <si>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</si>
  <si>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</si>
  <si>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</si>
  <si>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</si>
  <si>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</si>
  <si>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</si>
  <si>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</si>
  <si>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</si>
  <si>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</si>
  <si>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</si>
  <si>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</si>
  <si>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</si>
  <si>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</si>
  <si>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</si>
  <si>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</si>
  <si>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</si>
  <si>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</si>
  <si>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</si>
  <si>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</si>
  <si>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</si>
  <si>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</si>
  <si>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</si>
  <si>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</si>
  <si>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</si>
  <si>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</si>
  <si>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</si>
  <si>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</si>
  <si>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</si>
  <si>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</si>
  <si>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</si>
  <si>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</si>
  <si>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</si>
  <si>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</si>
  <si>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</si>
  <si>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</si>
  <si>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</si>
  <si>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</si>
  <si>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</si>
  <si>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</si>
  <si>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</si>
  <si>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</si>
  <si>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</si>
  <si>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</si>
  <si>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</si>
  <si>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</si>
  <si>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</si>
  <si>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</si>
  <si>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</si>
  <si>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</si>
  <si>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</si>
  <si>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</si>
  <si>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</si>
  <si>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</si>
  <si>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</si>
  <si>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</si>
  <si>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</si>
  <si>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</si>
  <si>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</si>
  <si>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</si>
  <si>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</si>
  <si>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</si>
  <si>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</si>
  <si>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</si>
  <si>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</si>
  <si>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</si>
  <si>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</si>
  <si>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</si>
  <si>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</si>
  <si>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</si>
  <si>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</si>
  <si>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</si>
  <si>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</si>
  <si>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</si>
  <si>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</si>
  <si>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</si>
  <si>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</si>
  <si>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</si>
  <si>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</si>
  <si>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</si>
  <si>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</si>
  <si>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</si>
  <si>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</si>
  <si>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</si>
  <si>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</si>
  <si>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</si>
  <si>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</si>
  <si>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</si>
  <si>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</si>
  <si>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</si>
  <si>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</si>
  <si>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</si>
  <si>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</si>
  <si>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</si>
  <si>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</si>
  <si>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</si>
  <si>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</si>
  <si>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</si>
  <si>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</si>
  <si>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</si>
  <si>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</si>
  <si>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</si>
  <si>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</si>
  <si>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</si>
  <si>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</si>
  <si>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</si>
  <si>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</si>
  <si>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</si>
  <si>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</si>
  <si>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</si>
  <si>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</si>
  <si>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</si>
  <si>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</si>
  <si>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</si>
  <si>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</si>
  <si>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</si>
  <si>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</si>
  <si>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</si>
  <si>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</si>
  <si>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</si>
  <si>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</si>
  <si>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</si>
  <si>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</si>
  <si>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</si>
  <si>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</si>
  <si>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</si>
  <si>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</si>
  <si>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</si>
  <si>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</si>
  <si>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</si>
  <si>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</si>
  <si>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</si>
  <si>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</si>
  <si>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</si>
  <si>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</si>
  <si>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</si>
  <si>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</si>
  <si>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</si>
  <si>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</si>
  <si>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</si>
  <si>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</si>
  <si>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</si>
  <si>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</si>
  <si>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</si>
  <si>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</si>
  <si>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</si>
  <si>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</si>
  <si>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</si>
  <si>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</si>
  <si>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</si>
  <si>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</si>
  <si>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</si>
  <si>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</si>
  <si>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</si>
  <si>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</si>
  <si>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</si>
  <si>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</si>
  <si>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</si>
  <si>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</si>
  <si>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</si>
  <si>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</si>
  <si>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</si>
  <si>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</si>
  <si>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</si>
  <si>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</si>
  <si>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</si>
  <si>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</si>
  <si>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</si>
  <si>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</si>
  <si>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</si>
  <si>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</si>
  <si>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</si>
  <si>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</si>
  <si>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</si>
  <si>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</si>
  <si>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</si>
  <si>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</si>
  <si>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</si>
  <si>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</si>
  <si>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</si>
  <si>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</si>
  <si>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</si>
  <si>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</si>
  <si>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</si>
  <si>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</si>
  <si>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</si>
  <si>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</si>
  <si>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</si>
  <si>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</si>
  <si>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</si>
  <si>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</si>
  <si>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</si>
  <si>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</si>
  <si>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</si>
  <si>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</si>
  <si>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</si>
  <si>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</si>
  <si>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</si>
  <si>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</si>
  <si>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</si>
  <si>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</si>
  <si>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</si>
  <si>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</si>
  <si>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</si>
  <si>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</si>
  <si>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</si>
  <si>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</si>
  <si>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</si>
  <si>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</si>
  <si>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</si>
  <si>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</si>
  <si>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</si>
  <si>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</si>
  <si>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</si>
  <si>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</si>
  <si>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</si>
  <si>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</si>
  <si>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</si>
  <si>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</si>
  <si>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</si>
  <si>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</si>
  <si>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</si>
  <si>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</si>
  <si>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</si>
  <si>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</si>
  <si>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</si>
  <si>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</si>
  <si>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</si>
  <si>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</si>
  <si>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</si>
  <si>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</si>
  <si>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</si>
  <si>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</si>
  <si>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</si>
  <si>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</si>
  <si>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</si>
  <si>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</si>
  <si>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</si>
  <si>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</si>
  <si>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</si>
  <si>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</si>
  <si>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</si>
  <si>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</si>
  <si>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</si>
  <si>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</si>
  <si>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</si>
  <si>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</si>
  <si>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</si>
  <si>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</si>
  <si>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</si>
  <si>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</si>
  <si>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</si>
  <si>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</si>
  <si>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</si>
  <si>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</si>
  <si>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</si>
  <si>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</si>
  <si>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</si>
  <si>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</si>
  <si>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</si>
  <si>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</si>
  <si>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</si>
  <si>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</si>
  <si>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</si>
  <si>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</si>
  <si>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</si>
  <si>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</si>
  <si>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</si>
  <si>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</si>
  <si>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</si>
  <si>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</si>
  <si>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</si>
  <si>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</si>
  <si>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</si>
  <si>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</si>
  <si>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</si>
  <si>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</si>
  <si>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</si>
  <si>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</si>
  <si>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</si>
  <si>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</si>
  <si>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</si>
  <si>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</si>
  <si>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</si>
  <si>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</si>
  <si>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</si>
  <si>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</si>
  <si>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</si>
  <si>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</si>
  <si>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</si>
  <si>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</si>
  <si>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</si>
  <si>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</si>
  <si>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</si>
  <si>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03299015</t>
  </si>
  <si>
    <t>080049595</t>
  </si>
  <si>
    <t>67215092378</t>
  </si>
  <si>
    <t>1335</t>
  </si>
  <si>
    <t>MAGMA d.d.</t>
  </si>
  <si>
    <t>ZAGREB</t>
  </si>
  <si>
    <t>BAŠTIJANOVA 52A</t>
  </si>
  <si>
    <t>magma@magma.hr</t>
  </si>
  <si>
    <t>www.magma.hr</t>
  </si>
  <si>
    <t>POSLOVNO IZVJEŠTAVANJE j.d.o.o.</t>
  </si>
  <si>
    <t>MILIĆ RANKO</t>
  </si>
  <si>
    <t>0916181167</t>
  </si>
  <si>
    <t>ranko.mili@yahoo.com</t>
  </si>
  <si>
    <t>stanje na dan 31.12.2020</t>
  </si>
  <si>
    <t>Obveznik: MAGMA d.d.</t>
  </si>
  <si>
    <t>u razdoblju 01.01.2020 do31.12.2020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</si>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</sst>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C30" sqref="C30"/>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43831</v>
      </c>
      <c r="F4" s="166"/>
      <c r="G4" s="94" t="s">
        <v>0</v>
      </c>
      <c r="H4" s="165">
        <v>44196</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431</v>
      </c>
      <c r="D10" s="151"/>
      <c r="E10" s="84"/>
      <c r="F10" s="173" t="s">
        <v>413</v>
      </c>
      <c r="G10" s="174"/>
      <c r="H10" s="132"/>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414</v>
      </c>
      <c r="H14" s="132"/>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434</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437</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0</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420</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422</v>
      </c>
      <c r="D49" s="133"/>
      <c r="E49" s="130" t="s">
        <v>424</v>
      </c>
      <c r="F49" s="131"/>
      <c r="G49" s="124" t="s">
        <v>440</v>
      </c>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442</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443</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 zoomScale="110" zoomScaleNormal="100" workbookViewId="0">
      <selection activeCell="I29" sqref="I2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444</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445</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41019</v>
      </c>
      <c r="I9" s="59">
        <f>I10+I17+I27+I38+I43</f>
        <v>47062</v>
      </c>
    </row>
    <row r="10" spans="1:9" ht="12.75" customHeight="1" x14ac:dyDescent="0.2">
      <c r="A10" s="184" t="s">
        <v>6</v>
      </c>
      <c r="B10" s="185"/>
      <c r="C10" s="185"/>
      <c r="D10" s="185"/>
      <c r="E10" s="185"/>
      <c r="F10" s="186"/>
      <c r="G10" s="17">
        <v>3</v>
      </c>
      <c r="H10" s="59">
        <f>H11+H12+H13+H14+H15+H16</f>
        <v>0</v>
      </c>
      <c r="I10" s="59">
        <f>I11+I12+I13+I14+I15+I16</f>
        <v>0</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0</v>
      </c>
      <c r="I12" s="58">
        <v>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0</v>
      </c>
      <c r="I15" s="58">
        <v>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41019</v>
      </c>
      <c r="I17" s="59">
        <f>I18+I19+I20+I21+I22+I23+I24+I25+I26</f>
        <v>47062</v>
      </c>
    </row>
    <row r="18" spans="1:9" ht="12.75" customHeight="1" x14ac:dyDescent="0.2">
      <c r="A18" s="189" t="s">
        <v>14</v>
      </c>
      <c r="B18" s="190"/>
      <c r="C18" s="190"/>
      <c r="D18" s="190"/>
      <c r="E18" s="190"/>
      <c r="F18" s="191"/>
      <c r="G18" s="16">
        <v>11</v>
      </c>
      <c r="H18" s="58">
        <v>0</v>
      </c>
      <c r="I18" s="58">
        <v>0</v>
      </c>
    </row>
    <row r="19" spans="1:9" ht="12.75" customHeight="1" x14ac:dyDescent="0.2">
      <c r="A19" s="189" t="s">
        <v>15</v>
      </c>
      <c r="B19" s="190"/>
      <c r="C19" s="190"/>
      <c r="D19" s="190"/>
      <c r="E19" s="190"/>
      <c r="F19" s="191"/>
      <c r="G19" s="16">
        <v>12</v>
      </c>
      <c r="H19" s="58">
        <v>0</v>
      </c>
      <c r="I19" s="58">
        <v>0</v>
      </c>
    </row>
    <row r="20" spans="1:9" ht="12.75" customHeight="1" x14ac:dyDescent="0.2">
      <c r="A20" s="189" t="s">
        <v>16</v>
      </c>
      <c r="B20" s="190"/>
      <c r="C20" s="190"/>
      <c r="D20" s="190"/>
      <c r="E20" s="190"/>
      <c r="F20" s="191"/>
      <c r="G20" s="16">
        <v>13</v>
      </c>
      <c r="H20" s="58">
        <v>0</v>
      </c>
      <c r="I20" s="58">
        <v>0</v>
      </c>
    </row>
    <row r="21" spans="1:9" ht="12.75" customHeight="1" x14ac:dyDescent="0.2">
      <c r="A21" s="189" t="s">
        <v>17</v>
      </c>
      <c r="B21" s="190"/>
      <c r="C21" s="190"/>
      <c r="D21" s="190"/>
      <c r="E21" s="190"/>
      <c r="F21" s="191"/>
      <c r="G21" s="16">
        <v>14</v>
      </c>
      <c r="H21" s="58">
        <v>0</v>
      </c>
      <c r="I21" s="58">
        <v>0</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0</v>
      </c>
      <c r="I24" s="58">
        <v>0</v>
      </c>
    </row>
    <row r="25" spans="1:9" ht="12.75" customHeight="1" x14ac:dyDescent="0.2">
      <c r="A25" s="189" t="s">
        <v>21</v>
      </c>
      <c r="B25" s="190"/>
      <c r="C25" s="190"/>
      <c r="D25" s="190"/>
      <c r="E25" s="190"/>
      <c r="F25" s="191"/>
      <c r="G25" s="16">
        <v>18</v>
      </c>
      <c r="H25" s="58">
        <v>41019</v>
      </c>
      <c r="I25" s="58">
        <v>47062</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0</v>
      </c>
      <c r="I27" s="59">
        <f>SUM(I28:I37)</f>
        <v>0</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15637722</v>
      </c>
      <c r="I44" s="59">
        <f>I45+I53+I60+I70</f>
        <v>14961934</v>
      </c>
    </row>
    <row r="45" spans="1:9" ht="12.75" customHeight="1" x14ac:dyDescent="0.2">
      <c r="A45" s="184" t="s">
        <v>41</v>
      </c>
      <c r="B45" s="185"/>
      <c r="C45" s="185"/>
      <c r="D45" s="185"/>
      <c r="E45" s="185"/>
      <c r="F45" s="186"/>
      <c r="G45" s="17">
        <v>38</v>
      </c>
      <c r="H45" s="59">
        <f>SUM(H46:H52)</f>
        <v>15562469</v>
      </c>
      <c r="I45" s="59">
        <f>SUM(I46:I52)</f>
        <v>14926169</v>
      </c>
    </row>
    <row r="46" spans="1:9" ht="12.75" customHeight="1" x14ac:dyDescent="0.2">
      <c r="A46" s="189" t="s">
        <v>42</v>
      </c>
      <c r="B46" s="190"/>
      <c r="C46" s="190"/>
      <c r="D46" s="190"/>
      <c r="E46" s="190"/>
      <c r="F46" s="191"/>
      <c r="G46" s="16">
        <v>39</v>
      </c>
      <c r="H46" s="58">
        <v>0</v>
      </c>
      <c r="I46" s="58">
        <v>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15562469</v>
      </c>
      <c r="I51" s="58">
        <v>14926169</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66465</v>
      </c>
      <c r="I53" s="59">
        <f>SUM(I54:I59)</f>
        <v>35527</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56386</v>
      </c>
      <c r="I56" s="58">
        <v>19641</v>
      </c>
    </row>
    <row r="57" spans="1:9" ht="12.75" customHeight="1" x14ac:dyDescent="0.2">
      <c r="A57" s="189" t="s">
        <v>53</v>
      </c>
      <c r="B57" s="190"/>
      <c r="C57" s="190"/>
      <c r="D57" s="190"/>
      <c r="E57" s="190"/>
      <c r="F57" s="191"/>
      <c r="G57" s="16">
        <v>50</v>
      </c>
      <c r="H57" s="58">
        <v>0</v>
      </c>
      <c r="I57" s="58">
        <v>0</v>
      </c>
    </row>
    <row r="58" spans="1:9" ht="12.75" customHeight="1" x14ac:dyDescent="0.2">
      <c r="A58" s="189" t="s">
        <v>54</v>
      </c>
      <c r="B58" s="190"/>
      <c r="C58" s="190"/>
      <c r="D58" s="190"/>
      <c r="E58" s="190"/>
      <c r="F58" s="191"/>
      <c r="G58" s="16">
        <v>51</v>
      </c>
      <c r="H58" s="58">
        <v>9879</v>
      </c>
      <c r="I58" s="58">
        <v>15886</v>
      </c>
    </row>
    <row r="59" spans="1:9" ht="12.75" customHeight="1" x14ac:dyDescent="0.2">
      <c r="A59" s="189" t="s">
        <v>55</v>
      </c>
      <c r="B59" s="190"/>
      <c r="C59" s="190"/>
      <c r="D59" s="190"/>
      <c r="E59" s="190"/>
      <c r="F59" s="191"/>
      <c r="G59" s="16">
        <v>52</v>
      </c>
      <c r="H59" s="58">
        <v>200</v>
      </c>
      <c r="I59" s="58">
        <v>0</v>
      </c>
    </row>
    <row r="60" spans="1:9" ht="12.75" customHeight="1" x14ac:dyDescent="0.2">
      <c r="A60" s="184" t="s">
        <v>56</v>
      </c>
      <c r="B60" s="185"/>
      <c r="C60" s="185"/>
      <c r="D60" s="185"/>
      <c r="E60" s="185"/>
      <c r="F60" s="186"/>
      <c r="G60" s="17">
        <v>53</v>
      </c>
      <c r="H60" s="59">
        <f>SUM(H61:H69)</f>
        <v>0</v>
      </c>
      <c r="I60" s="59">
        <f>SUM(I61:I69)</f>
        <v>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8788</v>
      </c>
      <c r="I70" s="58">
        <v>238</v>
      </c>
    </row>
    <row r="71" spans="1:9" ht="12.75" customHeight="1" x14ac:dyDescent="0.2">
      <c r="A71" s="221" t="s">
        <v>60</v>
      </c>
      <c r="B71" s="222"/>
      <c r="C71" s="222"/>
      <c r="D71" s="222"/>
      <c r="E71" s="222"/>
      <c r="F71" s="223"/>
      <c r="G71" s="16">
        <v>64</v>
      </c>
      <c r="H71" s="58">
        <v>200360</v>
      </c>
      <c r="I71" s="58">
        <v>0</v>
      </c>
    </row>
    <row r="72" spans="1:9" ht="12.75" customHeight="1" x14ac:dyDescent="0.2">
      <c r="A72" s="192" t="s">
        <v>61</v>
      </c>
      <c r="B72" s="193"/>
      <c r="C72" s="193"/>
      <c r="D72" s="193"/>
      <c r="E72" s="193"/>
      <c r="F72" s="194"/>
      <c r="G72" s="17">
        <v>65</v>
      </c>
      <c r="H72" s="59">
        <f>H8+H9+H44+H71</f>
        <v>15879101</v>
      </c>
      <c r="I72" s="59">
        <f>I8+I9+I44+I71</f>
        <v>15008996</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-87364599</v>
      </c>
      <c r="I75" s="59">
        <f>I76+I77+I78+I84+I85+I89+I92+I95</f>
        <v>-88193015</v>
      </c>
    </row>
    <row r="76" spans="1:9" ht="12.75" customHeight="1" x14ac:dyDescent="0.2">
      <c r="A76" s="188" t="s">
        <v>65</v>
      </c>
      <c r="B76" s="188"/>
      <c r="C76" s="188"/>
      <c r="D76" s="188"/>
      <c r="E76" s="188"/>
      <c r="F76" s="188"/>
      <c r="G76" s="16">
        <v>68</v>
      </c>
      <c r="H76" s="44">
        <v>299922880</v>
      </c>
      <c r="I76" s="44">
        <f>299922880</f>
        <v>299922880</v>
      </c>
    </row>
    <row r="77" spans="1:9" ht="12.75" customHeight="1" x14ac:dyDescent="0.2">
      <c r="A77" s="188" t="s">
        <v>66</v>
      </c>
      <c r="B77" s="188"/>
      <c r="C77" s="188"/>
      <c r="D77" s="188"/>
      <c r="E77" s="188"/>
      <c r="F77" s="188"/>
      <c r="G77" s="16">
        <v>69</v>
      </c>
      <c r="H77" s="44">
        <v>205749617</v>
      </c>
      <c r="I77" s="44">
        <v>205749617</v>
      </c>
    </row>
    <row r="78" spans="1:9" ht="12.75" customHeight="1" x14ac:dyDescent="0.2">
      <c r="A78" s="218" t="s">
        <v>67</v>
      </c>
      <c r="B78" s="218"/>
      <c r="C78" s="218"/>
      <c r="D78" s="218"/>
      <c r="E78" s="218"/>
      <c r="F78" s="218"/>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13189877</v>
      </c>
      <c r="I80" s="44">
        <v>13189877</v>
      </c>
    </row>
    <row r="81" spans="1:9" ht="12.75" customHeight="1" x14ac:dyDescent="0.2">
      <c r="A81" s="183" t="s">
        <v>70</v>
      </c>
      <c r="B81" s="183"/>
      <c r="C81" s="183"/>
      <c r="D81" s="183"/>
      <c r="E81" s="183"/>
      <c r="F81" s="183"/>
      <c r="G81" s="16">
        <v>73</v>
      </c>
      <c r="H81" s="44">
        <v>-13189877</v>
      </c>
      <c r="I81" s="44">
        <v>-13189877</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-592820994</v>
      </c>
      <c r="I89" s="59">
        <f>I90-I91</f>
        <v>-593037095</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592820994</v>
      </c>
      <c r="I91" s="44">
        <f>592411757+625338</f>
        <v>593037095</v>
      </c>
    </row>
    <row r="92" spans="1:9" ht="12.75" customHeight="1" x14ac:dyDescent="0.2">
      <c r="A92" s="218" t="s">
        <v>81</v>
      </c>
      <c r="B92" s="218"/>
      <c r="C92" s="218"/>
      <c r="D92" s="218"/>
      <c r="E92" s="218"/>
      <c r="F92" s="218"/>
      <c r="G92" s="17">
        <v>84</v>
      </c>
      <c r="H92" s="59">
        <f>H93-H94</f>
        <v>-216102</v>
      </c>
      <c r="I92" s="59">
        <f>I93-I94</f>
        <v>-828417</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216102</v>
      </c>
      <c r="I94" s="44">
        <v>828417</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0</v>
      </c>
      <c r="I103" s="59">
        <f>SUM(I104:I114)</f>
        <v>0</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0</v>
      </c>
      <c r="I109" s="44">
        <v>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102493526</v>
      </c>
      <c r="I115" s="59">
        <f>SUM(I116:I129)</f>
        <v>102811921</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23000</v>
      </c>
    </row>
    <row r="121" spans="1:9" ht="12.75" customHeight="1" x14ac:dyDescent="0.2">
      <c r="A121" s="183" t="s">
        <v>98</v>
      </c>
      <c r="B121" s="183"/>
      <c r="C121" s="183"/>
      <c r="D121" s="183"/>
      <c r="E121" s="183"/>
      <c r="F121" s="183"/>
      <c r="G121" s="16">
        <v>113</v>
      </c>
      <c r="H121" s="44">
        <v>42301280</v>
      </c>
      <c r="I121" s="44">
        <v>42301280</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2758791</v>
      </c>
      <c r="I123" s="44">
        <f>2922262+130324</f>
        <v>3052586</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13796258</v>
      </c>
      <c r="I125" s="44">
        <f>13787278+18359</f>
        <v>13805637</v>
      </c>
    </row>
    <row r="126" spans="1:9" x14ac:dyDescent="0.2">
      <c r="A126" s="183" t="s">
        <v>106</v>
      </c>
      <c r="B126" s="183"/>
      <c r="C126" s="183"/>
      <c r="D126" s="183"/>
      <c r="E126" s="183"/>
      <c r="F126" s="183"/>
      <c r="G126" s="16">
        <v>118</v>
      </c>
      <c r="H126" s="44">
        <v>28706413</v>
      </c>
      <c r="I126" s="44">
        <f>28695053+3581</f>
        <v>28698634</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14926169</v>
      </c>
      <c r="I128" s="58">
        <v>14926169</v>
      </c>
    </row>
    <row r="129" spans="1:9" x14ac:dyDescent="0.2">
      <c r="A129" s="183" t="s">
        <v>109</v>
      </c>
      <c r="B129" s="183"/>
      <c r="C129" s="183"/>
      <c r="D129" s="183"/>
      <c r="E129" s="183"/>
      <c r="F129" s="183"/>
      <c r="G129" s="16">
        <v>121</v>
      </c>
      <c r="H129" s="58">
        <v>4615</v>
      </c>
      <c r="I129" s="58">
        <v>4615</v>
      </c>
    </row>
    <row r="130" spans="1:9" ht="22.15" customHeight="1" x14ac:dyDescent="0.2">
      <c r="A130" s="219" t="s">
        <v>110</v>
      </c>
      <c r="B130" s="219"/>
      <c r="C130" s="219"/>
      <c r="D130" s="219"/>
      <c r="E130" s="219"/>
      <c r="F130" s="219"/>
      <c r="G130" s="16">
        <v>122</v>
      </c>
      <c r="H130" s="58">
        <v>750174</v>
      </c>
      <c r="I130" s="58">
        <v>390090</v>
      </c>
    </row>
    <row r="131" spans="1:9" x14ac:dyDescent="0.2">
      <c r="A131" s="187" t="s">
        <v>111</v>
      </c>
      <c r="B131" s="187"/>
      <c r="C131" s="187"/>
      <c r="D131" s="187"/>
      <c r="E131" s="187"/>
      <c r="F131" s="187"/>
      <c r="G131" s="17">
        <v>123</v>
      </c>
      <c r="H131" s="59">
        <f>H75+H96+H103+H115+H130</f>
        <v>15879101</v>
      </c>
      <c r="I131" s="59">
        <f>I75+I96+I103+I115+I130</f>
        <v>15008996</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B43" zoomScale="110" zoomScaleNormal="100" zoomScaleSheetLayoutView="110" workbookViewId="0">
      <selection activeCell="H52" sqref="H52"/>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446</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445</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3376356</v>
      </c>
      <c r="I7" s="63">
        <f>SUM(I8:I12)</f>
        <v>622292</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556728</v>
      </c>
      <c r="I9" s="58">
        <v>581254</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2819628</v>
      </c>
      <c r="I12" s="58">
        <f>3180+37858</f>
        <v>41038</v>
      </c>
    </row>
    <row r="13" spans="1:9" x14ac:dyDescent="0.2">
      <c r="A13" s="187" t="s">
        <v>134</v>
      </c>
      <c r="B13" s="187"/>
      <c r="C13" s="187"/>
      <c r="D13" s="187"/>
      <c r="E13" s="187"/>
      <c r="F13" s="187"/>
      <c r="G13" s="17">
        <v>131</v>
      </c>
      <c r="H13" s="59">
        <f>H14+H15+H19+H23+H24+H25+H28+H35</f>
        <v>3579376</v>
      </c>
      <c r="I13" s="59">
        <f>I14+I15+I19+I23+I24+I25+I28+I35</f>
        <v>1450715</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765456</v>
      </c>
      <c r="I15" s="59">
        <f>SUM(I16:I18)</f>
        <v>855094</v>
      </c>
    </row>
    <row r="16" spans="1:9" x14ac:dyDescent="0.2">
      <c r="A16" s="234" t="s">
        <v>136</v>
      </c>
      <c r="B16" s="234"/>
      <c r="C16" s="234"/>
      <c r="D16" s="234"/>
      <c r="E16" s="234"/>
      <c r="F16" s="234"/>
      <c r="G16" s="16">
        <v>134</v>
      </c>
      <c r="H16" s="58">
        <v>43723</v>
      </c>
      <c r="I16" s="58">
        <v>18657</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721733</v>
      </c>
      <c r="I18" s="58">
        <f>258455+577982</f>
        <v>836437</v>
      </c>
    </row>
    <row r="19" spans="1:9" x14ac:dyDescent="0.2">
      <c r="A19" s="243" t="s">
        <v>139</v>
      </c>
      <c r="B19" s="243"/>
      <c r="C19" s="243"/>
      <c r="D19" s="243"/>
      <c r="E19" s="243"/>
      <c r="F19" s="243"/>
      <c r="G19" s="17">
        <v>137</v>
      </c>
      <c r="H19" s="59">
        <f>SUM(H20:H22)</f>
        <v>69652</v>
      </c>
      <c r="I19" s="59">
        <f>SUM(I20:I22)</f>
        <v>72889</v>
      </c>
    </row>
    <row r="20" spans="1:9" x14ac:dyDescent="0.2">
      <c r="A20" s="234" t="s">
        <v>117</v>
      </c>
      <c r="B20" s="234"/>
      <c r="C20" s="234"/>
      <c r="D20" s="234"/>
      <c r="E20" s="234"/>
      <c r="F20" s="234"/>
      <c r="G20" s="16">
        <v>138</v>
      </c>
      <c r="H20" s="58">
        <v>45600</v>
      </c>
      <c r="I20" s="58">
        <v>48000</v>
      </c>
    </row>
    <row r="21" spans="1:9" x14ac:dyDescent="0.2">
      <c r="A21" s="234" t="s">
        <v>118</v>
      </c>
      <c r="B21" s="234"/>
      <c r="C21" s="234"/>
      <c r="D21" s="234"/>
      <c r="E21" s="234"/>
      <c r="F21" s="234"/>
      <c r="G21" s="16">
        <v>139</v>
      </c>
      <c r="H21" s="58">
        <v>13179</v>
      </c>
      <c r="I21" s="58">
        <v>13638</v>
      </c>
    </row>
    <row r="22" spans="1:9" x14ac:dyDescent="0.2">
      <c r="A22" s="234" t="s">
        <v>119</v>
      </c>
      <c r="B22" s="234"/>
      <c r="C22" s="234"/>
      <c r="D22" s="234"/>
      <c r="E22" s="234"/>
      <c r="F22" s="234"/>
      <c r="G22" s="16">
        <v>140</v>
      </c>
      <c r="H22" s="58">
        <v>10873</v>
      </c>
      <c r="I22" s="58">
        <v>11251</v>
      </c>
    </row>
    <row r="23" spans="1:9" x14ac:dyDescent="0.2">
      <c r="A23" s="183" t="s">
        <v>120</v>
      </c>
      <c r="B23" s="183"/>
      <c r="C23" s="183"/>
      <c r="D23" s="183"/>
      <c r="E23" s="183"/>
      <c r="F23" s="183"/>
      <c r="G23" s="16">
        <v>141</v>
      </c>
      <c r="H23" s="58">
        <v>0</v>
      </c>
      <c r="I23" s="58">
        <v>0</v>
      </c>
    </row>
    <row r="24" spans="1:9" x14ac:dyDescent="0.2">
      <c r="A24" s="183" t="s">
        <v>121</v>
      </c>
      <c r="B24" s="183"/>
      <c r="C24" s="183"/>
      <c r="D24" s="183"/>
      <c r="E24" s="183"/>
      <c r="F24" s="183"/>
      <c r="G24" s="16">
        <v>142</v>
      </c>
      <c r="H24" s="58">
        <v>2744268</v>
      </c>
      <c r="I24" s="58">
        <f>795375-272643</f>
        <v>522732</v>
      </c>
    </row>
    <row r="25" spans="1:9" x14ac:dyDescent="0.2">
      <c r="A25" s="243" t="s">
        <v>140</v>
      </c>
      <c r="B25" s="243"/>
      <c r="C25" s="243"/>
      <c r="D25" s="243"/>
      <c r="E25" s="243"/>
      <c r="F25" s="243"/>
      <c r="G25" s="17">
        <v>143</v>
      </c>
      <c r="H25" s="59">
        <f>H26+H27</f>
        <v>0</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0</v>
      </c>
    </row>
    <row r="28" spans="1:9" x14ac:dyDescent="0.2">
      <c r="A28" s="243" t="s">
        <v>143</v>
      </c>
      <c r="B28" s="243"/>
      <c r="C28" s="243"/>
      <c r="D28" s="243"/>
      <c r="E28" s="243"/>
      <c r="F28" s="243"/>
      <c r="G28" s="17">
        <v>146</v>
      </c>
      <c r="H28" s="59">
        <f>SUM(H29:H34)</f>
        <v>0</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0</v>
      </c>
      <c r="I35" s="58">
        <v>0</v>
      </c>
    </row>
    <row r="36" spans="1:9" x14ac:dyDescent="0.2">
      <c r="A36" s="187" t="s">
        <v>150</v>
      </c>
      <c r="B36" s="187"/>
      <c r="C36" s="187"/>
      <c r="D36" s="187"/>
      <c r="E36" s="187"/>
      <c r="F36" s="187"/>
      <c r="G36" s="17">
        <v>154</v>
      </c>
      <c r="H36" s="59">
        <f>SUM(H37:H46)</f>
        <v>10</v>
      </c>
      <c r="I36" s="59">
        <f>SUM(I37:I46)</f>
        <v>24</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10</v>
      </c>
      <c r="I43" s="58">
        <v>24</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13092</v>
      </c>
      <c r="I47" s="59">
        <f>SUM(I48:I54)</f>
        <v>18</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0</v>
      </c>
      <c r="I50" s="58">
        <v>18</v>
      </c>
    </row>
    <row r="51" spans="1:9" x14ac:dyDescent="0.2">
      <c r="A51" s="236" t="s">
        <v>165</v>
      </c>
      <c r="B51" s="236"/>
      <c r="C51" s="236"/>
      <c r="D51" s="236"/>
      <c r="E51" s="236"/>
      <c r="F51" s="236"/>
      <c r="G51" s="16">
        <v>169</v>
      </c>
      <c r="H51" s="58">
        <v>13092</v>
      </c>
      <c r="I51" s="58">
        <v>0</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3376366</v>
      </c>
      <c r="I59" s="59">
        <f>I7+I36+I55+I56</f>
        <v>622316</v>
      </c>
    </row>
    <row r="60" spans="1:9" x14ac:dyDescent="0.2">
      <c r="A60" s="187" t="s">
        <v>174</v>
      </c>
      <c r="B60" s="187"/>
      <c r="C60" s="187"/>
      <c r="D60" s="187"/>
      <c r="E60" s="187"/>
      <c r="F60" s="187"/>
      <c r="G60" s="17">
        <v>178</v>
      </c>
      <c r="H60" s="59">
        <f>H13+H47+H57+H58</f>
        <v>3592468</v>
      </c>
      <c r="I60" s="59">
        <f>I13+I47+I57+I58</f>
        <v>1450733</v>
      </c>
    </row>
    <row r="61" spans="1:9" x14ac:dyDescent="0.2">
      <c r="A61" s="187" t="s">
        <v>175</v>
      </c>
      <c r="B61" s="187"/>
      <c r="C61" s="187"/>
      <c r="D61" s="187"/>
      <c r="E61" s="187"/>
      <c r="F61" s="187"/>
      <c r="G61" s="17">
        <v>179</v>
      </c>
      <c r="H61" s="59">
        <f>H59-H60</f>
        <v>-216102</v>
      </c>
      <c r="I61" s="59">
        <f>I59-I60</f>
        <v>-828417</v>
      </c>
    </row>
    <row r="62" spans="1:9" x14ac:dyDescent="0.2">
      <c r="A62" s="235" t="s">
        <v>176</v>
      </c>
      <c r="B62" s="235"/>
      <c r="C62" s="235"/>
      <c r="D62" s="235"/>
      <c r="E62" s="235"/>
      <c r="F62" s="235"/>
      <c r="G62" s="17">
        <v>180</v>
      </c>
      <c r="H62" s="59">
        <f>+IF((H59-H60)&gt;0,(H59-H60),0)</f>
        <v>0</v>
      </c>
      <c r="I62" s="59">
        <f>+IF((I59-I60)&gt;0,(I59-I60),0)</f>
        <v>0</v>
      </c>
    </row>
    <row r="63" spans="1:9" x14ac:dyDescent="0.2">
      <c r="A63" s="235" t="s">
        <v>177</v>
      </c>
      <c r="B63" s="235"/>
      <c r="C63" s="235"/>
      <c r="D63" s="235"/>
      <c r="E63" s="235"/>
      <c r="F63" s="235"/>
      <c r="G63" s="17">
        <v>181</v>
      </c>
      <c r="H63" s="59">
        <f>+IF((H59-H60)&lt;0,(H59-H60),0)</f>
        <v>-216102</v>
      </c>
      <c r="I63" s="59">
        <f>+IF((I59-I60)&lt;0,(I59-I60),0)</f>
        <v>-828417</v>
      </c>
    </row>
    <row r="64" spans="1:9" x14ac:dyDescent="0.2">
      <c r="A64" s="219" t="s">
        <v>123</v>
      </c>
      <c r="B64" s="219"/>
      <c r="C64" s="219"/>
      <c r="D64" s="219"/>
      <c r="E64" s="219"/>
      <c r="F64" s="219"/>
      <c r="G64" s="16">
        <v>182</v>
      </c>
      <c r="H64" s="58">
        <v>0</v>
      </c>
      <c r="I64" s="58">
        <v>0</v>
      </c>
    </row>
    <row r="65" spans="1:9" x14ac:dyDescent="0.2">
      <c r="A65" s="187" t="s">
        <v>178</v>
      </c>
      <c r="B65" s="187"/>
      <c r="C65" s="187"/>
      <c r="D65" s="187"/>
      <c r="E65" s="187"/>
      <c r="F65" s="187"/>
      <c r="G65" s="17">
        <v>183</v>
      </c>
      <c r="H65" s="59">
        <f>H61-H64</f>
        <v>-216102</v>
      </c>
      <c r="I65" s="59">
        <f>I61-I64</f>
        <v>-828417</v>
      </c>
    </row>
    <row r="66" spans="1:9" x14ac:dyDescent="0.2">
      <c r="A66" s="235" t="s">
        <v>179</v>
      </c>
      <c r="B66" s="235"/>
      <c r="C66" s="235"/>
      <c r="D66" s="235"/>
      <c r="E66" s="235"/>
      <c r="F66" s="235"/>
      <c r="G66" s="17">
        <v>184</v>
      </c>
      <c r="H66" s="59">
        <f>+IF((H61-H64)&gt;0,(H61-H64),0)</f>
        <v>0</v>
      </c>
      <c r="I66" s="59">
        <f>+IF((I61-I64)&gt;0,(I61-I64),0)</f>
        <v>0</v>
      </c>
    </row>
    <row r="67" spans="1:9" x14ac:dyDescent="0.2">
      <c r="A67" s="241" t="s">
        <v>180</v>
      </c>
      <c r="B67" s="241"/>
      <c r="C67" s="241"/>
      <c r="D67" s="241"/>
      <c r="E67" s="241"/>
      <c r="F67" s="241"/>
      <c r="G67" s="18">
        <v>185</v>
      </c>
      <c r="H67" s="64">
        <f>+IF((H61-H64)&lt;0,(H61-H64),0)</f>
        <v>-216102</v>
      </c>
      <c r="I67" s="64">
        <f>+IF((I61-I64)&lt;0,(I61-I64),0)</f>
        <v>-828417</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0</v>
      </c>
      <c r="I88" s="52">
        <v>0</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0</v>
      </c>
      <c r="I100" s="54">
        <f>I88+I99</f>
        <v>0</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11" sqref="I1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447</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445</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-216102</v>
      </c>
      <c r="I8" s="47">
        <v>-828417</v>
      </c>
    </row>
    <row r="9" spans="1:9" ht="12.75" customHeight="1" x14ac:dyDescent="0.2">
      <c r="A9" s="265" t="s">
        <v>219</v>
      </c>
      <c r="B9" s="266"/>
      <c r="C9" s="266"/>
      <c r="D9" s="266"/>
      <c r="E9" s="266"/>
      <c r="F9" s="267"/>
      <c r="G9" s="17">
        <v>2</v>
      </c>
      <c r="H9" s="48">
        <f>H10+H11+H12+H13+H14+H15+H16+H17</f>
        <v>48382</v>
      </c>
      <c r="I9" s="48">
        <f>I10+I11+I12+I13+I14+I15+I16+I17</f>
        <v>0</v>
      </c>
    </row>
    <row r="10" spans="1:9" ht="12.75" customHeight="1" x14ac:dyDescent="0.2">
      <c r="A10" s="257" t="s">
        <v>220</v>
      </c>
      <c r="B10" s="258"/>
      <c r="C10" s="258"/>
      <c r="D10" s="258"/>
      <c r="E10" s="258"/>
      <c r="F10" s="259"/>
      <c r="G10" s="22">
        <v>3</v>
      </c>
      <c r="H10" s="49">
        <v>0</v>
      </c>
      <c r="I10" s="49">
        <v>0</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13071</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0</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35311</v>
      </c>
      <c r="I17" s="49">
        <v>0</v>
      </c>
    </row>
    <row r="18" spans="1:9" ht="29.45" customHeight="1" x14ac:dyDescent="0.2">
      <c r="A18" s="262" t="s">
        <v>388</v>
      </c>
      <c r="B18" s="263"/>
      <c r="C18" s="263"/>
      <c r="D18" s="263"/>
      <c r="E18" s="263"/>
      <c r="F18" s="264"/>
      <c r="G18" s="17">
        <v>11</v>
      </c>
      <c r="H18" s="48">
        <f>H8+H9</f>
        <v>-167720</v>
      </c>
      <c r="I18" s="48">
        <f>I8+I9</f>
        <v>-828417</v>
      </c>
    </row>
    <row r="19" spans="1:9" ht="12.75" customHeight="1" x14ac:dyDescent="0.2">
      <c r="A19" s="265" t="s">
        <v>226</v>
      </c>
      <c r="B19" s="266"/>
      <c r="C19" s="266"/>
      <c r="D19" s="266"/>
      <c r="E19" s="266"/>
      <c r="F19" s="267"/>
      <c r="G19" s="17">
        <v>12</v>
      </c>
      <c r="H19" s="48">
        <f>H20+H21+H22+H23</f>
        <v>-709882</v>
      </c>
      <c r="I19" s="48">
        <f>I20+I21+I22+I23</f>
        <v>819867</v>
      </c>
    </row>
    <row r="20" spans="1:9" ht="12.75" customHeight="1" x14ac:dyDescent="0.2">
      <c r="A20" s="257" t="s">
        <v>227</v>
      </c>
      <c r="B20" s="258"/>
      <c r="C20" s="258"/>
      <c r="D20" s="258"/>
      <c r="E20" s="258"/>
      <c r="F20" s="259"/>
      <c r="G20" s="22">
        <v>13</v>
      </c>
      <c r="H20" s="49">
        <v>15356936</v>
      </c>
      <c r="I20" s="49">
        <v>318395</v>
      </c>
    </row>
    <row r="21" spans="1:9" ht="12.75" customHeight="1" x14ac:dyDescent="0.2">
      <c r="A21" s="257" t="s">
        <v>228</v>
      </c>
      <c r="B21" s="258"/>
      <c r="C21" s="258"/>
      <c r="D21" s="258"/>
      <c r="E21" s="258"/>
      <c r="F21" s="259"/>
      <c r="G21" s="22">
        <v>14</v>
      </c>
      <c r="H21" s="49">
        <v>39309</v>
      </c>
      <c r="I21" s="49">
        <v>-30938</v>
      </c>
    </row>
    <row r="22" spans="1:9" ht="12.75" customHeight="1" x14ac:dyDescent="0.2">
      <c r="A22" s="257" t="s">
        <v>229</v>
      </c>
      <c r="B22" s="258"/>
      <c r="C22" s="258"/>
      <c r="D22" s="258"/>
      <c r="E22" s="258"/>
      <c r="F22" s="259"/>
      <c r="G22" s="22">
        <v>15</v>
      </c>
      <c r="H22" s="49">
        <v>-6639792</v>
      </c>
      <c r="I22" s="49">
        <v>636300</v>
      </c>
    </row>
    <row r="23" spans="1:9" ht="12.75" customHeight="1" x14ac:dyDescent="0.2">
      <c r="A23" s="257" t="s">
        <v>230</v>
      </c>
      <c r="B23" s="258"/>
      <c r="C23" s="258"/>
      <c r="D23" s="258"/>
      <c r="E23" s="258"/>
      <c r="F23" s="259"/>
      <c r="G23" s="22">
        <v>16</v>
      </c>
      <c r="H23" s="49">
        <v>-9466335</v>
      </c>
      <c r="I23" s="49">
        <v>-103890</v>
      </c>
    </row>
    <row r="24" spans="1:9" ht="12.75" customHeight="1" x14ac:dyDescent="0.2">
      <c r="A24" s="262" t="s">
        <v>231</v>
      </c>
      <c r="B24" s="263"/>
      <c r="C24" s="263"/>
      <c r="D24" s="263"/>
      <c r="E24" s="263"/>
      <c r="F24" s="264"/>
      <c r="G24" s="17">
        <v>17</v>
      </c>
      <c r="H24" s="48">
        <f>H18+H19</f>
        <v>-877602</v>
      </c>
      <c r="I24" s="48">
        <f>I18+I19</f>
        <v>-8550</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-877602</v>
      </c>
      <c r="I27" s="50">
        <f>I24+I25+I26</f>
        <v>-8550</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0</v>
      </c>
      <c r="I35" s="53">
        <f>I29+I30+I31+I32+I33+I34</f>
        <v>0</v>
      </c>
    </row>
    <row r="36" spans="1:9" ht="26.45" customHeight="1" x14ac:dyDescent="0.2">
      <c r="A36" s="253" t="s">
        <v>243</v>
      </c>
      <c r="B36" s="254"/>
      <c r="C36" s="254"/>
      <c r="D36" s="254"/>
      <c r="E36" s="254"/>
      <c r="F36" s="255"/>
      <c r="G36" s="22">
        <v>28</v>
      </c>
      <c r="H36" s="52">
        <v>0</v>
      </c>
      <c r="I36" s="52">
        <v>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0</v>
      </c>
      <c r="I41" s="53">
        <f>I36+I37+I38+I39+I40</f>
        <v>0</v>
      </c>
    </row>
    <row r="42" spans="1:9" ht="30.6" customHeight="1" x14ac:dyDescent="0.2">
      <c r="A42" s="280" t="s">
        <v>249</v>
      </c>
      <c r="B42" s="281"/>
      <c r="C42" s="281"/>
      <c r="D42" s="281"/>
      <c r="E42" s="281"/>
      <c r="F42" s="282"/>
      <c r="G42" s="18">
        <v>34</v>
      </c>
      <c r="H42" s="54">
        <f>H35+H41</f>
        <v>0</v>
      </c>
      <c r="I42" s="54">
        <f>I35+I41</f>
        <v>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-877602</v>
      </c>
      <c r="I57" s="53">
        <f>I27+I42+I55+I56</f>
        <v>-8550</v>
      </c>
    </row>
    <row r="58" spans="1:9" ht="15.6" customHeight="1" x14ac:dyDescent="0.2">
      <c r="A58" s="286" t="s">
        <v>264</v>
      </c>
      <c r="B58" s="287"/>
      <c r="C58" s="287"/>
      <c r="D58" s="287"/>
      <c r="E58" s="287"/>
      <c r="F58" s="288"/>
      <c r="G58" s="22">
        <v>49</v>
      </c>
      <c r="H58" s="52">
        <v>886390</v>
      </c>
      <c r="I58" s="52">
        <v>8788</v>
      </c>
    </row>
    <row r="59" spans="1:9" ht="28.9" customHeight="1" x14ac:dyDescent="0.2">
      <c r="A59" s="280" t="s">
        <v>265</v>
      </c>
      <c r="B59" s="281"/>
      <c r="C59" s="281"/>
      <c r="D59" s="281"/>
      <c r="E59" s="281"/>
      <c r="F59" s="282"/>
      <c r="G59" s="18">
        <v>50</v>
      </c>
      <c r="H59" s="54">
        <f>H57+H58</f>
        <v>8788</v>
      </c>
      <c r="I59" s="54">
        <f>I57+I58</f>
        <v>238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 right="0.7" top="0.75" bottom="0.75" header="0.3" footer="0.3"/>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7" sqref="A7:I7"/>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1">
        <v>0</v>
      </c>
      <c r="I17" s="51">
        <v>0</v>
      </c>
    </row>
    <row r="18" spans="1:9" x14ac:dyDescent="0.2">
      <c r="A18" s="236" t="s">
        <v>277</v>
      </c>
      <c r="B18" s="236"/>
      <c r="C18" s="236"/>
      <c r="D18" s="236"/>
      <c r="E18" s="236"/>
      <c r="F18" s="236"/>
      <c r="G18" s="16">
        <v>11</v>
      </c>
      <c r="H18" s="51">
        <v>0</v>
      </c>
      <c r="I18" s="51">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1">
        <v>0</v>
      </c>
      <c r="I28" s="51">
        <v>0</v>
      </c>
    </row>
    <row r="29" spans="1:9" x14ac:dyDescent="0.2">
      <c r="A29" s="236" t="s">
        <v>287</v>
      </c>
      <c r="B29" s="236"/>
      <c r="C29" s="236"/>
      <c r="D29" s="236"/>
      <c r="E29" s="236"/>
      <c r="F29" s="236"/>
      <c r="G29" s="16">
        <v>21</v>
      </c>
      <c r="H29" s="51">
        <v>0</v>
      </c>
      <c r="I29" s="51">
        <v>0</v>
      </c>
    </row>
    <row r="30" spans="1:9" x14ac:dyDescent="0.2">
      <c r="A30" s="236" t="s">
        <v>288</v>
      </c>
      <c r="B30" s="236"/>
      <c r="C30" s="236"/>
      <c r="D30" s="236"/>
      <c r="E30" s="236"/>
      <c r="F30" s="236"/>
      <c r="G30" s="16">
        <v>22</v>
      </c>
      <c r="H30" s="51">
        <v>0</v>
      </c>
      <c r="I30" s="51">
        <v>0</v>
      </c>
    </row>
    <row r="31" spans="1:9" x14ac:dyDescent="0.2">
      <c r="A31" s="236" t="s">
        <v>289</v>
      </c>
      <c r="B31" s="236"/>
      <c r="C31" s="236"/>
      <c r="D31" s="236"/>
      <c r="E31" s="236"/>
      <c r="F31" s="236"/>
      <c r="G31" s="16">
        <v>23</v>
      </c>
      <c r="H31" s="51">
        <v>0</v>
      </c>
      <c r="I31" s="51">
        <v>0</v>
      </c>
    </row>
    <row r="32" spans="1:9" x14ac:dyDescent="0.2">
      <c r="A32" s="236" t="s">
        <v>290</v>
      </c>
      <c r="B32" s="236"/>
      <c r="C32" s="236"/>
      <c r="D32" s="236"/>
      <c r="E32" s="236"/>
      <c r="F32" s="236"/>
      <c r="G32" s="16">
        <v>24</v>
      </c>
      <c r="H32" s="51">
        <v>0</v>
      </c>
      <c r="I32" s="51">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1">
        <v>0</v>
      </c>
      <c r="I41" s="51">
        <v>0</v>
      </c>
    </row>
    <row r="42" spans="1:9" x14ac:dyDescent="0.2">
      <c r="A42" s="183" t="s">
        <v>299</v>
      </c>
      <c r="B42" s="183"/>
      <c r="C42" s="183"/>
      <c r="D42" s="183"/>
      <c r="E42" s="183"/>
      <c r="F42" s="183"/>
      <c r="G42" s="16">
        <v>33</v>
      </c>
      <c r="H42" s="51">
        <v>0</v>
      </c>
      <c r="I42" s="51">
        <v>0</v>
      </c>
    </row>
    <row r="43" spans="1:9" x14ac:dyDescent="0.2">
      <c r="A43" s="183" t="s">
        <v>300</v>
      </c>
      <c r="B43" s="183"/>
      <c r="C43" s="183"/>
      <c r="D43" s="183"/>
      <c r="E43" s="183"/>
      <c r="F43" s="183"/>
      <c r="G43" s="16">
        <v>34</v>
      </c>
      <c r="H43" s="51">
        <v>0</v>
      </c>
      <c r="I43" s="51">
        <v>0</v>
      </c>
    </row>
    <row r="44" spans="1:9" ht="25.15" customHeight="1" x14ac:dyDescent="0.2">
      <c r="A44" s="183" t="s">
        <v>301</v>
      </c>
      <c r="B44" s="183"/>
      <c r="C44" s="183"/>
      <c r="D44" s="183"/>
      <c r="E44" s="183"/>
      <c r="F44" s="183"/>
      <c r="G44" s="16">
        <v>35</v>
      </c>
      <c r="H44" s="51">
        <v>0</v>
      </c>
      <c r="I44" s="51">
        <v>0</v>
      </c>
    </row>
    <row r="45" spans="1:9" x14ac:dyDescent="0.2">
      <c r="A45" s="183" t="s">
        <v>302</v>
      </c>
      <c r="B45" s="183"/>
      <c r="C45" s="183"/>
      <c r="D45" s="183"/>
      <c r="E45" s="183"/>
      <c r="F45" s="183"/>
      <c r="G45" s="16">
        <v>36</v>
      </c>
      <c r="H45" s="51">
        <v>0</v>
      </c>
      <c r="I45" s="51">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1">
        <v>0</v>
      </c>
      <c r="I48" s="51">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1">
        <v>0</v>
      </c>
      <c r="I50" s="51">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Q34" zoomScale="80" zoomScaleNormal="100" zoomScaleSheetLayoutView="80" workbookViewId="0">
      <selection activeCell="S36" sqref="S3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43831</v>
      </c>
      <c r="F2" s="6" t="s">
        <v>0</v>
      </c>
      <c r="G2" s="5">
        <v>44196</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299922880</v>
      </c>
      <c r="I7" s="77">
        <v>205749617</v>
      </c>
      <c r="J7" s="77">
        <v>0</v>
      </c>
      <c r="K7" s="77">
        <v>13189817</v>
      </c>
      <c r="L7" s="77">
        <v>13189817</v>
      </c>
      <c r="M7" s="77">
        <v>0</v>
      </c>
      <c r="N7" s="77">
        <v>0</v>
      </c>
      <c r="O7" s="77">
        <v>0</v>
      </c>
      <c r="P7" s="77">
        <v>0</v>
      </c>
      <c r="Q7" s="77">
        <v>0</v>
      </c>
      <c r="R7" s="77">
        <v>0</v>
      </c>
      <c r="S7" s="77">
        <v>-592820994</v>
      </c>
      <c r="T7" s="77">
        <v>0</v>
      </c>
      <c r="U7" s="78">
        <f>H7+I7+J7+K7-L7+M7+N7+O7+P7+Q7+R7+S7+T7</f>
        <v>-87148497</v>
      </c>
      <c r="V7" s="77">
        <v>0</v>
      </c>
      <c r="W7" s="78">
        <f>U7+V7</f>
        <v>-87148497</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299922880</v>
      </c>
      <c r="I10" s="79">
        <f t="shared" ref="I10:W10" si="2">I7+I8+I9</f>
        <v>205749617</v>
      </c>
      <c r="J10" s="79">
        <f t="shared" si="2"/>
        <v>0</v>
      </c>
      <c r="K10" s="79">
        <f t="shared" si="2"/>
        <v>13189817</v>
      </c>
      <c r="L10" s="79">
        <f t="shared" si="2"/>
        <v>13189817</v>
      </c>
      <c r="M10" s="79">
        <f t="shared" si="2"/>
        <v>0</v>
      </c>
      <c r="N10" s="79">
        <f t="shared" si="2"/>
        <v>0</v>
      </c>
      <c r="O10" s="79">
        <f t="shared" si="2"/>
        <v>0</v>
      </c>
      <c r="P10" s="79">
        <f t="shared" si="2"/>
        <v>0</v>
      </c>
      <c r="Q10" s="79">
        <f t="shared" si="2"/>
        <v>0</v>
      </c>
      <c r="R10" s="79">
        <f t="shared" si="2"/>
        <v>0</v>
      </c>
      <c r="S10" s="79">
        <f t="shared" si="2"/>
        <v>-592820994</v>
      </c>
      <c r="T10" s="79">
        <f t="shared" si="2"/>
        <v>0</v>
      </c>
      <c r="U10" s="79">
        <f t="shared" si="2"/>
        <v>-87148497</v>
      </c>
      <c r="V10" s="79">
        <f t="shared" si="2"/>
        <v>0</v>
      </c>
      <c r="W10" s="79">
        <f t="shared" si="2"/>
        <v>-87148497</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-216102</v>
      </c>
      <c r="U11" s="78">
        <f>H11+I11+J11+K11-L11+M11+N11+O11+P11+Q11+R11+S11+T11</f>
        <v>-216102</v>
      </c>
      <c r="V11" s="77">
        <v>0</v>
      </c>
      <c r="W11" s="78">
        <f t="shared" ref="W11:W28" si="3">U11+V11</f>
        <v>-216102</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299922880</v>
      </c>
      <c r="I29" s="80">
        <f t="shared" ref="I29:W29" si="5">SUM(I10:I28)</f>
        <v>205749617</v>
      </c>
      <c r="J29" s="80">
        <f t="shared" si="5"/>
        <v>0</v>
      </c>
      <c r="K29" s="80">
        <f t="shared" si="5"/>
        <v>13189817</v>
      </c>
      <c r="L29" s="80">
        <f t="shared" si="5"/>
        <v>13189817</v>
      </c>
      <c r="M29" s="80">
        <f t="shared" si="5"/>
        <v>0</v>
      </c>
      <c r="N29" s="80">
        <f t="shared" si="5"/>
        <v>0</v>
      </c>
      <c r="O29" s="80">
        <f t="shared" si="5"/>
        <v>0</v>
      </c>
      <c r="P29" s="80">
        <f t="shared" si="5"/>
        <v>0</v>
      </c>
      <c r="Q29" s="80">
        <f t="shared" si="5"/>
        <v>0</v>
      </c>
      <c r="R29" s="80">
        <f t="shared" si="5"/>
        <v>0</v>
      </c>
      <c r="S29" s="80">
        <f t="shared" si="5"/>
        <v>-592820994</v>
      </c>
      <c r="T29" s="80">
        <f t="shared" si="5"/>
        <v>-216102</v>
      </c>
      <c r="U29" s="80">
        <f t="shared" si="5"/>
        <v>-87364599</v>
      </c>
      <c r="V29" s="80">
        <f t="shared" si="5"/>
        <v>0</v>
      </c>
      <c r="W29" s="80">
        <f t="shared" si="5"/>
        <v>-87364599</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-216102</v>
      </c>
      <c r="U32" s="79">
        <f t="shared" si="7"/>
        <v>-216102</v>
      </c>
      <c r="V32" s="79">
        <f t="shared" si="7"/>
        <v>0</v>
      </c>
      <c r="W32" s="79">
        <f t="shared" si="7"/>
        <v>-216102</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299922880</v>
      </c>
      <c r="I35" s="77">
        <v>205749617</v>
      </c>
      <c r="J35" s="77">
        <v>0</v>
      </c>
      <c r="K35" s="77">
        <v>13189877</v>
      </c>
      <c r="L35" s="77">
        <v>13189877</v>
      </c>
      <c r="M35" s="77">
        <v>0</v>
      </c>
      <c r="N35" s="77">
        <v>0</v>
      </c>
      <c r="O35" s="77">
        <v>0</v>
      </c>
      <c r="P35" s="77">
        <v>0</v>
      </c>
      <c r="Q35" s="77">
        <v>0</v>
      </c>
      <c r="R35" s="77">
        <v>0</v>
      </c>
      <c r="S35" s="77">
        <v>-593037095</v>
      </c>
      <c r="T35" s="77">
        <v>0</v>
      </c>
      <c r="U35" s="78">
        <f t="shared" ref="U35:U37" si="9">H35+I35+J35+K35-L35+M35+N35+O35+P35+Q35+R35+S35+T35</f>
        <v>-87364598</v>
      </c>
      <c r="V35" s="77">
        <v>0</v>
      </c>
      <c r="W35" s="78">
        <f t="shared" ref="W35:W37" si="10">U35+V35</f>
        <v>-87364598</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299922880</v>
      </c>
      <c r="I38" s="79">
        <f t="shared" ref="I38:W38" si="11">I35+I36+I37</f>
        <v>205749617</v>
      </c>
      <c r="J38" s="79">
        <f t="shared" si="11"/>
        <v>0</v>
      </c>
      <c r="K38" s="79">
        <f t="shared" si="11"/>
        <v>13189877</v>
      </c>
      <c r="L38" s="79">
        <f t="shared" si="11"/>
        <v>13189877</v>
      </c>
      <c r="M38" s="79">
        <f t="shared" si="11"/>
        <v>0</v>
      </c>
      <c r="N38" s="79">
        <f t="shared" si="11"/>
        <v>0</v>
      </c>
      <c r="O38" s="79">
        <f t="shared" si="11"/>
        <v>0</v>
      </c>
      <c r="P38" s="79">
        <f t="shared" si="11"/>
        <v>0</v>
      </c>
      <c r="Q38" s="79">
        <f t="shared" si="11"/>
        <v>0</v>
      </c>
      <c r="R38" s="79">
        <f t="shared" si="11"/>
        <v>0</v>
      </c>
      <c r="S38" s="79">
        <f t="shared" si="11"/>
        <v>-593037095</v>
      </c>
      <c r="T38" s="79">
        <f t="shared" si="11"/>
        <v>0</v>
      </c>
      <c r="U38" s="79">
        <f t="shared" si="11"/>
        <v>-87364598</v>
      </c>
      <c r="V38" s="79">
        <f t="shared" si="11"/>
        <v>0</v>
      </c>
      <c r="W38" s="79">
        <f t="shared" si="11"/>
        <v>-87364598</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-828417</v>
      </c>
      <c r="U39" s="78">
        <f t="shared" ref="U39:U56" si="12">H39+I39+J39+K39-L39+M39+N39+O39+P39+Q39+R39+S39+T39</f>
        <v>-828417</v>
      </c>
      <c r="V39" s="77">
        <v>0</v>
      </c>
      <c r="W39" s="78">
        <f t="shared" ref="W39:W56" si="13">U39+V39</f>
        <v>-828417</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299922880</v>
      </c>
      <c r="I57" s="80">
        <f t="shared" ref="I57:W57" si="14">SUM(I38:I56)</f>
        <v>205749617</v>
      </c>
      <c r="J57" s="80">
        <f t="shared" si="14"/>
        <v>0</v>
      </c>
      <c r="K57" s="80">
        <f t="shared" si="14"/>
        <v>13189877</v>
      </c>
      <c r="L57" s="80">
        <f t="shared" si="14"/>
        <v>13189877</v>
      </c>
      <c r="M57" s="80">
        <f t="shared" si="14"/>
        <v>0</v>
      </c>
      <c r="N57" s="80">
        <f t="shared" si="14"/>
        <v>0</v>
      </c>
      <c r="O57" s="80">
        <f t="shared" si="14"/>
        <v>0</v>
      </c>
      <c r="P57" s="80">
        <f t="shared" si="14"/>
        <v>0</v>
      </c>
      <c r="Q57" s="80">
        <f t="shared" si="14"/>
        <v>0</v>
      </c>
      <c r="R57" s="80">
        <f t="shared" si="14"/>
        <v>0</v>
      </c>
      <c r="S57" s="80">
        <f t="shared" si="14"/>
        <v>-593037095</v>
      </c>
      <c r="T57" s="80">
        <f t="shared" si="14"/>
        <v>-828417</v>
      </c>
      <c r="U57" s="80">
        <f t="shared" si="14"/>
        <v>-88193015</v>
      </c>
      <c r="V57" s="80">
        <f t="shared" si="14"/>
        <v>0</v>
      </c>
      <c r="W57" s="80">
        <f t="shared" si="14"/>
        <v>-88193015</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-828417</v>
      </c>
      <c r="U60" s="79">
        <f t="shared" si="16"/>
        <v>-828417</v>
      </c>
      <c r="V60" s="79">
        <f t="shared" si="16"/>
        <v>0</v>
      </c>
      <c r="W60" s="79">
        <f t="shared" si="16"/>
        <v>-828417</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24" t="s">
        <v>430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ht="119.25" customHeight="1" x14ac:dyDescent="0.2">
      <c r="A25" s="325"/>
      <c r="B25" s="325"/>
      <c r="C25" s="325"/>
      <c r="D25" s="325"/>
      <c r="E25" s="325"/>
      <c r="F25" s="325"/>
      <c r="G25" s="325"/>
      <c r="H25" s="325"/>
      <c r="I25" s="325"/>
      <c r="J25" s="325"/>
    </row>
    <row r="26" spans="1:10" ht="90" customHeight="1" x14ac:dyDescent="0.2">
      <c r="A26" s="325"/>
      <c r="B26" s="325"/>
      <c r="C26" s="325"/>
      <c r="D26" s="325"/>
      <c r="E26" s="325"/>
      <c r="F26" s="325"/>
      <c r="G26" s="325"/>
      <c r="H26" s="325"/>
      <c r="I26" s="325"/>
      <c r="J26" s="325"/>
    </row>
    <row r="27" spans="1:10" ht="87" customHeight="1" x14ac:dyDescent="0.2">
      <c r="A27" s="325"/>
      <c r="B27" s="325"/>
      <c r="C27" s="325"/>
      <c r="D27" s="325"/>
      <c r="E27" s="325"/>
      <c r="F27" s="325"/>
      <c r="G27" s="325"/>
      <c r="H27" s="325"/>
      <c r="I27" s="325"/>
      <c r="J27" s="325"/>
    </row>
    <row r="28" spans="1:10" ht="84" customHeight="1" x14ac:dyDescent="0.2">
      <c r="A28" s="325"/>
      <c r="B28" s="325"/>
      <c r="C28" s="325"/>
      <c r="D28" s="325"/>
      <c r="E28" s="325"/>
      <c r="F28" s="325"/>
      <c r="G28" s="325"/>
      <c r="H28" s="325"/>
      <c r="I28" s="325"/>
      <c r="J28" s="325"/>
    </row>
    <row r="29" spans="1:10" ht="148.5" customHeight="1" x14ac:dyDescent="0.2">
      <c r="A29" s="325"/>
      <c r="B29" s="325"/>
      <c r="C29" s="325"/>
      <c r="D29" s="325"/>
      <c r="E29" s="325"/>
      <c r="F29" s="325"/>
      <c r="G29" s="325"/>
      <c r="H29" s="325"/>
      <c r="I29" s="325"/>
      <c r="J29" s="325"/>
    </row>
    <row r="30" spans="1:10" ht="28.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f00c05a3-a522-4b3b-aeec-75a37a6bc44f"/>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beef9ca-c00b-443c-ae4d-d16a6508f86d"/>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Srećko</cp:lastModifiedBy>
  <cp:lastPrinted>2021-04-26T19:44:53Z</cp:lastPrinted>
  <dcterms:created xsi:type="dcterms:W3CDTF">2008-10-17T11:51:54Z</dcterms:created>
  <dcterms:modified xsi:type="dcterms:W3CDTF">2021-04-26T19:44:59Z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