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84" windowHeight="3804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<sst xmlns="http://schemas.openxmlformats.org/spreadsheetml/2006/main" count="397" uniqueCount="342">
  <si>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</si>
  <si>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</si>
  <si>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</si>
  <si>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</si>
  <si>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</si>
  <si>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</si>
  <si>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</si>
  <si>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</si>
  <si>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</si>
  <si>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</si>
  <si>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</si>
  <si>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</si>
  <si>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</si>
  <si>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</si>
  <si>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</si>
  <si>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</si>
  <si>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</si>
  <si>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</si>
  <si>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</si>
  <si>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</si>
  <si>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</si>
  <si>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</si>
  <si>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</si>
  <si>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</si>
  <si>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</si>
  <si>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</si>
  <si>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</si>
  <si>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</si>
  <si>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</si>
  <si>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</si>
  <si>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</si>
  <si>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</si>
  <si>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</si>
  <si>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</si>
  <si>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</si>
  <si>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</si>
  <si>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</si>
  <si>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</si>
  <si>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</si>
  <si>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</si>
  <si>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</si>
  <si>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</si>
  <si>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</si>
  <si>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</si>
  <si>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</si>
  <si>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</si>
  <si>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</si>
  <si>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</si>
  <si>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</si>
  <si>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</si>
  <si>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</si>
  <si>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</si>
  <si>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</si>
  <si>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</si>
  <si>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</si>
  <si>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</si>
  <si>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</si>
  <si>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</si>
  <si>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</si>
  <si>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</si>
  <si>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</si>
  <si>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</si>
  <si>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</si>
  <si>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</si>
  <si>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</si>
  <si>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</si>
  <si>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</si>
  <si>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</si>
  <si>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</si>
  <si>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</si>
  <si>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</si>
  <si>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</si>
  <si>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</si>
  <si>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</si>
  <si>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</si>
  <si>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</si>
  <si>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</si>
  <si>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</si>
  <si>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</si>
  <si>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</si>
  <si>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</si>
  <si>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</si>
  <si>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</si>
  <si>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</si>
  <si>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</si>
  <si>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</si>
  <si>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</si>
  <si>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</si>
  <si>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</si>
  <si>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</si>
  <si>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</si>
  <si>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</si>
  <si>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</si>
  <si>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</si>
  <si>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</si>
  <si>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</si>
  <si>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</si>
  <si>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</si>
  <si>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</si>
  <si>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</si>
  <si>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</si>
  <si>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</si>
  <si>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</si>
  <si>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</si>
  <si>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</si>
  <si>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</si>
  <si>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</si>
  <si>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</si>
  <si>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</si>
  <si>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</si>
  <si>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</si>
  <si>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</si>
  <si>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</si>
  <si>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</si>
  <si>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</si>
  <si>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</si>
  <si>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</si>
  <si>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</si>
  <si>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</si>
  <si>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</si>
  <si>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</si>
  <si>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</si>
  <si>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</si>
  <si>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</si>
  <si>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</si>
  <si>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</si>
  <si>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</si>
  <si>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</si>
  <si>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</si>
  <si>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</si>
  <si>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</si>
  <si>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</si>
  <si>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</si>
  <si>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</si>
  <si>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</si>
  <si>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</si>
  <si>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</si>
  <si>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</si>
  <si>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</si>
  <si>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</si>
  <si>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</si>
  <si>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</si>
  <si>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</si>
  <si>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</si>
  <si>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</si>
  <si>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</si>
  <si>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</si>
  <si>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</si>
  <si>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</si>
  <si>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</si>
  <si>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</si>
  <si>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</si>
  <si>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</si>
  <si>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</si>
  <si>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</si>
  <si>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</si>
  <si>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</si>
  <si>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</si>
  <si>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</si>
  <si>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</si>
  <si>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</si>
  <si>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</si>
  <si>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</si>
  <si>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</si>
  <si>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</si>
  <si>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</si>
  <si>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</si>
  <si>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</si>
  <si>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</si>
  <si>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</si>
  <si>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</si>
  <si>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</si>
  <si>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</si>
  <si>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</si>
  <si>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</si>
  <si>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</si>
  <si>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</si>
  <si>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</si>
  <si>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</si>
  <si>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</si>
  <si>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</si>
  <si>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</si>
  <si>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</si>
  <si>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</si>
  <si>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</si>
  <si>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</si>
  <si>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</si>
  <si>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</si>
  <si>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</si>
  <si>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</si>
  <si>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</si>
  <si>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</si>
  <si>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</si>
  <si>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</si>
  <si>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</si>
  <si>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</si>
  <si>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</si>
  <si>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</si>
  <si>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</si>
  <si>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</si>
  <si>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</si>
  <si>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</si>
  <si>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</si>
  <si>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</si>
  <si>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</si>
  <si>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</si>
  <si>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</si>
  <si>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</si>
  <si>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</si>
  <si>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</si>
  <si>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</si>
  <si>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</si>
  <si>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</si>
  <si>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</si>
  <si>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</si>
  <si>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</si>
  <si>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</si>
  <si>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</si>
  <si>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</si>
  <si>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</si>
  <si>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</si>
  <si>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</si>
  <si>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</si>
  <si>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</si>
  <si>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</si>
  <si>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</si>
  <si>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</si>
  <si>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</si>
  <si>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</si>
  <si>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</si>
  <si>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</si>
  <si>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</si>
  <si>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</si>
  <si>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</si>
  <si>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</si>
  <si>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</si>
  <si>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</si>
  <si>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</si>
  <si>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</si>
  <si>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</si>
  <si>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</si>
  <si>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</si>
  <si>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</si>
  <si>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</si>
  <si>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</si>
  <si>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</si>
  <si>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</si>
  <si>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</si>
  <si>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</si>
  <si>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</si>
  <si>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</si>
  <si>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</si>
  <si>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</si>
  <si>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</si>
  <si>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</si>
  <si>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</si>
  <si>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</si>
  <si>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</si>
  <si>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</si>
  <si>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</si>
  <si>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</si>
  <si>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</si>
  <si>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</si>
  <si>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</si>
  <si>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</si>
  <si>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</si>
  <si>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</si>
  <si>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</si>
  <si>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</si>
  <si>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</si>
  <si>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</si>
  <si>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</si>
  <si>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</si>
  <si>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</si>
  <si>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</si>
  <si>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</si>
  <si>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</si>
  <si>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</si>
  <si>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</si>
  <si>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</si>
  <si>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</si>
  <si>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</si>
  <si>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</si>
  <si>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</si>
  <si>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</si>
  <si>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</si>
  <si>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</si>
  <si>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</si>
  <si>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</si>
  <si>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</si>
  <si>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</si>
  <si>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</si>
  <si>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</si>
  <si>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</si>
  <si>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</si>
  <si>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</si>
  <si>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</si>
  <si>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</si>
  <si>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</si>
  <si>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</si>
  <si>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</si>
  <si>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</si>
  <si>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</si>
  <si>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</si>
  <si>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</si>
  <si>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</si>
  <si>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</si>
  <si>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</si>
  <si>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</si>
  <si>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</si>
  <si>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</si>
  <si>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</si>
  <si>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</si>
  <si>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</si>
  <si>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</si>
  <si>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</si>
  <si>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</si>
  <si>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</si>
  <si>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</si>
  <si>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</si>
  <si>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</si>
  <si>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</si>
  <si>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</si>
  <si>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03299015</t>
  </si>
  <si>
    <t>080049595</t>
  </si>
  <si>
    <t>67215092378</t>
  </si>
  <si>
    <t>MAGMA d.d.</t>
  </si>
  <si>
    <t>ZAGREB</t>
  </si>
  <si>
    <t>BAŠTIJANOVA 52A</t>
  </si>
  <si>
    <t>magma@magma.hr</t>
  </si>
  <si>
    <t>www.magma.hr</t>
  </si>
  <si>
    <t>GRAD ZAGREB</t>
  </si>
  <si>
    <t>NE</t>
  </si>
  <si>
    <t>GORANKO FIŽULIĆ</t>
  </si>
  <si>
    <t>Obveznik:  MAGMA d.d.</t>
  </si>
  <si>
    <t>01.01.2014.</t>
  </si>
  <si>
    <t>3656888</t>
  </si>
  <si>
    <t>3656800</t>
  </si>
  <si>
    <t>4771</t>
  </si>
  <si>
    <t>31.12.2014.</t>
  </si>
  <si>
    <t>stanje na dan 31.12.2014.</t>
  </si>
  <si>
    <t>u razdoblju 01.01.2014. do 31.12.2014.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</si>
</sst>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hyperlink" Target="mailto:magma@magm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49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53" t="s">
        <v>248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335</v>
      </c>
      <c r="F2" s="12"/>
      <c r="G2" s="13" t="s">
        <v>250</v>
      </c>
      <c r="H2" s="120" t="s">
        <v>339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48" t="s">
        <v>323</v>
      </c>
      <c r="D6" s="149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48" t="s">
        <v>324</v>
      </c>
      <c r="D8" s="149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48" t="s">
        <v>325</v>
      </c>
      <c r="D10" s="14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0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0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0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0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0" t="s">
        <v>331</v>
      </c>
      <c r="E24" s="163"/>
      <c r="F24" s="163"/>
      <c r="G24" s="164"/>
      <c r="H24" s="51" t="s">
        <v>261</v>
      </c>
      <c r="I24" s="122">
        <v>11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332</v>
      </c>
      <c r="D26" s="25"/>
      <c r="E26" s="33"/>
      <c r="F26" s="24"/>
      <c r="G26" s="165" t="s">
        <v>263</v>
      </c>
      <c r="H26" s="136"/>
      <c r="I26" s="124" t="s">
        <v>338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1"/>
      <c r="C30" s="151"/>
      <c r="D30" s="152"/>
      <c r="E30" s="160"/>
      <c r="F30" s="151"/>
      <c r="G30" s="151"/>
      <c r="H30" s="148"/>
      <c r="I30" s="149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1"/>
      <c r="C32" s="151"/>
      <c r="D32" s="152"/>
      <c r="E32" s="160"/>
      <c r="F32" s="151"/>
      <c r="G32" s="151"/>
      <c r="H32" s="148"/>
      <c r="I32" s="149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1"/>
      <c r="C34" s="151"/>
      <c r="D34" s="152"/>
      <c r="E34" s="160"/>
      <c r="F34" s="151"/>
      <c r="G34" s="151"/>
      <c r="H34" s="148"/>
      <c r="I34" s="149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1"/>
      <c r="C36" s="151"/>
      <c r="D36" s="152"/>
      <c r="E36" s="160"/>
      <c r="F36" s="151"/>
      <c r="G36" s="151"/>
      <c r="H36" s="148"/>
      <c r="I36" s="149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1"/>
      <c r="C38" s="151"/>
      <c r="D38" s="152"/>
      <c r="E38" s="160"/>
      <c r="F38" s="151"/>
      <c r="G38" s="151"/>
      <c r="H38" s="148"/>
      <c r="I38" s="149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1"/>
      <c r="C40" s="151"/>
      <c r="D40" s="152"/>
      <c r="E40" s="160"/>
      <c r="F40" s="151"/>
      <c r="G40" s="151"/>
      <c r="H40" s="148"/>
      <c r="I40" s="149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0" t="s">
        <v>333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336</v>
      </c>
      <c r="D48" s="133"/>
      <c r="E48" s="134"/>
      <c r="F48" s="16"/>
      <c r="G48" s="51" t="s">
        <v>271</v>
      </c>
      <c r="H48" s="137" t="s">
        <v>337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329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333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4" t="s">
        <v>273</v>
      </c>
      <c r="D53" s="144"/>
      <c r="E53" s="144"/>
      <c r="F53" s="144"/>
      <c r="G53" s="144"/>
      <c r="H53" s="14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5" t="s">
        <v>277</v>
      </c>
      <c r="H62" s="146"/>
      <c r="I62" s="14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  <hyperlink ref="C50" r:id="rId3" display="magma@magm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58" sqref="K58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334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1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6164045</v>
      </c>
      <c r="K8" s="53">
        <f>K9+K16+K26+K35+K39</f>
        <v>464672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5556080</v>
      </c>
      <c r="K9" s="53">
        <f>SUM(K10:K15)</f>
        <v>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5556080</v>
      </c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123293</v>
      </c>
      <c r="K16" s="53">
        <f>SUM(K17:K25)</f>
        <v>0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/>
      <c r="K17" s="7"/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/>
      <c r="K18" s="7"/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/>
      <c r="K19" s="7"/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123293</v>
      </c>
      <c r="K20" s="7"/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484672</v>
      </c>
      <c r="K26" s="53">
        <f>SUM(K27:K34)</f>
        <v>464672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40000</v>
      </c>
      <c r="K27" s="7">
        <v>20000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9800</v>
      </c>
      <c r="K29" s="7">
        <v>9800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62628</v>
      </c>
      <c r="K31" s="7">
        <v>62628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372244</v>
      </c>
      <c r="K32" s="7">
        <v>372244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62608821</v>
      </c>
      <c r="K40" s="53">
        <f>K41+K49+K56+K64</f>
        <v>62145178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+J42+J43+J44+J45+J46+J47+J48</f>
        <v>48491163</v>
      </c>
      <c r="K41" s="53">
        <f>+K42+K43+K44+K45+K46+K47+K48</f>
        <v>48491163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/>
      <c r="K42" s="7"/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48491163</v>
      </c>
      <c r="K47" s="7">
        <v>48491163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14104282</v>
      </c>
      <c r="K49" s="53">
        <f>SUM(K50:K55)</f>
        <v>12546967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12067742</v>
      </c>
      <c r="K50" s="7">
        <v>12067742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156533</v>
      </c>
      <c r="K51" s="7">
        <v>412781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/>
      <c r="K53" s="7"/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/>
      <c r="K54" s="7"/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1880007</v>
      </c>
      <c r="K55" s="7">
        <f>66444</f>
        <v>66444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10000</v>
      </c>
      <c r="K56" s="53">
        <f>SUM(K57:K63)</f>
        <v>1102745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>
        <f>2133926-1041181</f>
        <v>1092745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10000</v>
      </c>
      <c r="K62" s="7">
        <v>10000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3376</v>
      </c>
      <c r="K64" s="7">
        <f>4112+191</f>
        <v>4303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/>
      <c r="K65" s="7">
        <v>40509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68772866</v>
      </c>
      <c r="K66" s="53">
        <f>K7+K8+K40+K65</f>
        <v>62650359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-442492838</v>
      </c>
      <c r="K69" s="54">
        <f>K70+K71+K72+K78+K79+K82+K85</f>
        <v>-300017857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67748710</v>
      </c>
      <c r="K70" s="7">
        <v>67748710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205749617</v>
      </c>
      <c r="K71" s="7">
        <v>205749617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13189877</v>
      </c>
      <c r="K74" s="7">
        <v>13189877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13189877</v>
      </c>
      <c r="K75" s="7">
        <v>13189877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-742647457</v>
      </c>
      <c r="K79" s="53">
        <f>K80-K81</f>
        <v>-715991165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742647457</v>
      </c>
      <c r="K81" s="7">
        <v>715991165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26656292</v>
      </c>
      <c r="K82" s="53">
        <f>K83-K84</f>
        <v>142474981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26656292</v>
      </c>
      <c r="K83" s="7">
        <v>142474981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0</v>
      </c>
      <c r="K90" s="53">
        <f>SUM(K91:K99)</f>
        <v>64438010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>
        <v>42301280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>
        <v>22136730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509026872</v>
      </c>
      <c r="K100" s="53">
        <f>SUM(K101:K112)</f>
        <v>296440851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80389</v>
      </c>
      <c r="K102" s="7">
        <v>54866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138340307</v>
      </c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204798571</v>
      </c>
      <c r="K105" s="7">
        <v>177812491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75760080</v>
      </c>
      <c r="K106" s="7">
        <v>55927050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15006109</v>
      </c>
      <c r="K108" s="7">
        <v>13266643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75041416</v>
      </c>
      <c r="K109" s="7">
        <f>72249428-50000000-22136731</f>
        <v>112697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>
        <v>48491163</v>
      </c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/>
      <c r="K112" s="7">
        <v>775941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2238832</v>
      </c>
      <c r="K113" s="7">
        <v>1789355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68772866</v>
      </c>
      <c r="K114" s="53">
        <f>K69+K86+K90+K100+K113</f>
        <v>62650359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>
        <f>+K66-K114</f>
        <v>0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L9" sqref="L9"/>
    </sheetView>
  </sheetViews>
  <sheetFormatPr defaultColWidth="9.140625" defaultRowHeight="12.75"/>
  <cols>
    <col min="1" max="9" width="9.140625" style="52" customWidth="1"/>
    <col min="10" max="12" width="10.421875" style="52" bestFit="1" customWidth="1"/>
    <col min="13" max="13" width="10.1406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1.7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95390729</v>
      </c>
      <c r="K7" s="54">
        <f>SUM(K8:K9)</f>
        <v>91660235</v>
      </c>
      <c r="L7" s="54">
        <f>SUM(L8:L9)</f>
        <v>147237226</v>
      </c>
      <c r="M7" s="54">
        <f>SUM(M8:M9)</f>
        <v>-16166474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518094</v>
      </c>
      <c r="K8" s="7">
        <v>150034</v>
      </c>
      <c r="L8" s="7">
        <v>650104</v>
      </c>
      <c r="M8" s="7">
        <f>+L8-537578</f>
        <v>112526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94872635</v>
      </c>
      <c r="K9" s="7">
        <f>91660235-150034</f>
        <v>91510201</v>
      </c>
      <c r="L9" s="7">
        <f>96587122+50000000</f>
        <v>146587122</v>
      </c>
      <c r="M9" s="7">
        <f>+L9-162866122</f>
        <v>-16279000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79989993</v>
      </c>
      <c r="K10" s="53">
        <f>K11+K12+K16+K20+K21+K22+K25+K26</f>
        <v>78050551</v>
      </c>
      <c r="L10" s="53">
        <f>L11+L12+L16+L20+L21+L22+L25+L26</f>
        <v>7400008</v>
      </c>
      <c r="M10" s="53">
        <f>M11+M12+M16+M20+M21+M22+M25+M26</f>
        <v>6106852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5468</v>
      </c>
      <c r="K12" s="53">
        <f>SUM(K13:K15)</f>
        <v>1575</v>
      </c>
      <c r="L12" s="53">
        <f>SUM(L13:L15)</f>
        <v>4914</v>
      </c>
      <c r="M12" s="53">
        <f>SUM(M13:M15)</f>
        <v>558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5468</v>
      </c>
      <c r="K13" s="7">
        <v>1575</v>
      </c>
      <c r="L13" s="7">
        <v>4914</v>
      </c>
      <c r="M13" s="7">
        <f>+L13-4356</f>
        <v>558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/>
      <c r="K15" s="7"/>
      <c r="L15" s="7"/>
      <c r="M15" s="7"/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648957</v>
      </c>
      <c r="K16" s="53">
        <f>SUM(K17:K19)</f>
        <v>47063</v>
      </c>
      <c r="L16" s="53">
        <f>SUM(L17:L19)</f>
        <v>177757</v>
      </c>
      <c r="M16" s="53">
        <f>SUM(M17:M19)</f>
        <v>36211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339444</v>
      </c>
      <c r="K17" s="7">
        <v>26538</v>
      </c>
      <c r="L17" s="7">
        <v>111299</v>
      </c>
      <c r="M17" s="7">
        <f>+L17-88471</f>
        <v>22828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222224</v>
      </c>
      <c r="K18" s="7">
        <v>12653</v>
      </c>
      <c r="L18" s="7">
        <v>40514</v>
      </c>
      <c r="M18" s="7">
        <f>+L18-32445</f>
        <v>8069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87289</v>
      </c>
      <c r="K19" s="7">
        <v>7872</v>
      </c>
      <c r="L19" s="7">
        <v>25944</v>
      </c>
      <c r="M19" s="7">
        <f>+L19-20630</f>
        <v>5314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3038572</v>
      </c>
      <c r="K20" s="7">
        <v>3038572</v>
      </c>
      <c r="L20" s="7">
        <v>5679372</v>
      </c>
      <c r="M20" s="7">
        <f>+L20-0</f>
        <v>5679372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76296996</v>
      </c>
      <c r="K21" s="7">
        <v>74963341</v>
      </c>
      <c r="L21" s="7">
        <f>1541965-4000</f>
        <v>1537965</v>
      </c>
      <c r="M21" s="7">
        <f>+L21-1147254</f>
        <v>390711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11255556</v>
      </c>
      <c r="K27" s="53">
        <v>11255556</v>
      </c>
      <c r="L27" s="53">
        <f>SUM(L28:L32)</f>
        <v>2676518</v>
      </c>
      <c r="M27" s="53">
        <f>SUM(M28:M32)</f>
        <v>80000</v>
      </c>
    </row>
    <row r="28" spans="1:13" ht="21" customHeight="1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29.25" customHeight="1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11255556</v>
      </c>
      <c r="K29" s="7">
        <v>0</v>
      </c>
      <c r="L29" s="7">
        <v>9360</v>
      </c>
      <c r="M29" s="7">
        <f>+L29-9360</f>
        <v>0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>
        <v>2667158</v>
      </c>
      <c r="M32" s="7">
        <f>+L32-2587158</f>
        <v>80000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0</v>
      </c>
      <c r="K33" s="53">
        <f>SUM(K34:K37)</f>
        <v>0</v>
      </c>
      <c r="L33" s="53">
        <f>SUM(L34:L37)</f>
        <v>38755</v>
      </c>
      <c r="M33" s="53">
        <f>SUM(M34:M37)</f>
        <v>508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0</v>
      </c>
      <c r="K35" s="7">
        <v>0</v>
      </c>
      <c r="L35" s="7">
        <v>38755</v>
      </c>
      <c r="M35" s="7">
        <f>+L35-38247</f>
        <v>508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106646285</v>
      </c>
      <c r="K42" s="53">
        <f>K7+K27+K38+K40</f>
        <v>102915791</v>
      </c>
      <c r="L42" s="53">
        <f>L7+L27+L38+L40</f>
        <v>149913744</v>
      </c>
      <c r="M42" s="53">
        <f>M7+M27+M38+M40</f>
        <v>-16086474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79989993</v>
      </c>
      <c r="K43" s="53">
        <f>K10+K33+K39+K41</f>
        <v>78050551</v>
      </c>
      <c r="L43" s="53">
        <f>L10+L33+L39+L41</f>
        <v>7438763</v>
      </c>
      <c r="M43" s="53">
        <f>M10+M33+M39+M41</f>
        <v>6107360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26656292</v>
      </c>
      <c r="K44" s="53">
        <f>K42-K43</f>
        <v>24865240</v>
      </c>
      <c r="L44" s="53">
        <f>L42-L43</f>
        <v>142474981</v>
      </c>
      <c r="M44" s="53">
        <f>M42-M43</f>
        <v>-22193834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26656292</v>
      </c>
      <c r="K45" s="53">
        <f>IF(K42&gt;K43,K42-K43,0)</f>
        <v>24865240</v>
      </c>
      <c r="L45" s="53">
        <f>IF(L42&gt;L43,L42-L43,0)</f>
        <v>142474981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22193834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26656292</v>
      </c>
      <c r="K48" s="53">
        <f>K44-K47</f>
        <v>24865240</v>
      </c>
      <c r="L48" s="53">
        <f>L44-L47</f>
        <v>142474981</v>
      </c>
      <c r="M48" s="53">
        <f>M44-M47</f>
        <v>-22193834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26656292</v>
      </c>
      <c r="K49" s="53">
        <f>IF(K48&gt;0,K48,0)</f>
        <v>24865240</v>
      </c>
      <c r="L49" s="53">
        <f>IF(L48&gt;0,L48,0)</f>
        <v>142474981</v>
      </c>
      <c r="M49" s="53">
        <f>IF(M48&gt;0,M48,0)</f>
        <v>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22193834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/>
      <c r="K56" s="6"/>
      <c r="L56" s="6"/>
      <c r="M56" s="6"/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51" sqref="J51"/>
    </sheetView>
  </sheetViews>
  <sheetFormatPr defaultColWidth="9.140625" defaultRowHeight="12.75"/>
  <cols>
    <col min="1" max="9" width="9.140625" style="52" customWidth="1"/>
    <col min="10" max="10" width="10.421875" style="52" bestFit="1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334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26656292</v>
      </c>
      <c r="K7" s="7">
        <v>142474981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3038572</v>
      </c>
      <c r="K8" s="7">
        <v>5679372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7"/>
      <c r="K9" s="7"/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7">
        <v>9003557</v>
      </c>
      <c r="K10" s="7">
        <v>1557315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7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7">
        <v>74183715</v>
      </c>
      <c r="K12" s="7">
        <f>42301280+22136730</f>
        <v>64438010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112882136</v>
      </c>
      <c r="K13" s="53">
        <f>SUM(K7:K12)</f>
        <v>214149678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64393696</v>
      </c>
      <c r="K14" s="7">
        <v>212586021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48491163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/>
      <c r="K17" s="7">
        <v>4209888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112884859</v>
      </c>
      <c r="K18" s="53">
        <f>SUM(K14:K17)</f>
        <v>216795909</v>
      </c>
    </row>
    <row r="19" spans="1:11" ht="26.25" customHeight="1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23.25" customHeight="1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2723</v>
      </c>
      <c r="K20" s="53">
        <f>IF(K18&gt;K13,K18-K13,0)</f>
        <v>2646231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/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>
        <v>20000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0</v>
      </c>
      <c r="K31" s="53">
        <f>SUM(K28:K30)</f>
        <v>20000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20000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>
        <v>2667158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0</v>
      </c>
      <c r="K38" s="64">
        <f>SUM(K35:K37)</f>
        <v>2667158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0</v>
      </c>
      <c r="K44" s="53">
        <f>SUM(K39:K43)</f>
        <v>0</v>
      </c>
    </row>
    <row r="45" spans="1:11" ht="20.25" customHeight="1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2667158</v>
      </c>
    </row>
    <row r="46" spans="1:11" ht="33.75" customHeight="1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927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53">
        <f>IF(J20-J19+J33-J32+J46-J45&gt;0,J20-J19+J33-J32+J46-J45,0)</f>
        <v>2723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653</v>
      </c>
      <c r="K49" s="7">
        <v>3376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>
        <v>2723</v>
      </c>
      <c r="K50" s="7">
        <f>4303-3376</f>
        <v>927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1">
        <f>J49+J50-J51</f>
        <v>3376</v>
      </c>
      <c r="K52" s="61">
        <f>K49+K50-K51</f>
        <v>4303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1:H11"/>
    <mergeCell ref="A12:H12"/>
    <mergeCell ref="A19:H19"/>
    <mergeCell ref="A20:H20"/>
    <mergeCell ref="A13:H13"/>
    <mergeCell ref="A14:H14"/>
    <mergeCell ref="A15:H15"/>
    <mergeCell ref="A16:H16"/>
    <mergeCell ref="A7:H7"/>
    <mergeCell ref="A8:H8"/>
    <mergeCell ref="A3:K3"/>
    <mergeCell ref="A1:K1"/>
    <mergeCell ref="A2:K2"/>
    <mergeCell ref="A4:H4"/>
    <mergeCell ref="A5:H5"/>
    <mergeCell ref="A6:K6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2" sqref="A22:K2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1:H11"/>
    <mergeCell ref="A12:H12"/>
    <mergeCell ref="A19:H19"/>
    <mergeCell ref="A20:H20"/>
    <mergeCell ref="A13:H13"/>
    <mergeCell ref="A14:H14"/>
    <mergeCell ref="A15:H15"/>
    <mergeCell ref="A16:H16"/>
    <mergeCell ref="A7:H7"/>
    <mergeCell ref="A8:H8"/>
    <mergeCell ref="A3:K3"/>
    <mergeCell ref="A1:K1"/>
    <mergeCell ref="A2:K2"/>
    <mergeCell ref="A4:H4"/>
    <mergeCell ref="A5:H5"/>
    <mergeCell ref="A6:K6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9" sqref="J9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">
      <c r="A2" s="42"/>
      <c r="B2" s="74"/>
      <c r="C2" s="284" t="s">
        <v>282</v>
      </c>
      <c r="D2" s="284"/>
      <c r="E2" s="77">
        <v>41640</v>
      </c>
      <c r="F2" s="43" t="s">
        <v>250</v>
      </c>
      <c r="G2" s="285">
        <v>42004</v>
      </c>
      <c r="H2" s="286"/>
      <c r="I2" s="74"/>
      <c r="J2" s="74"/>
      <c r="K2" s="74"/>
      <c r="L2" s="78"/>
    </row>
    <row r="3" spans="1:11" ht="21.7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67748710</v>
      </c>
      <c r="K5" s="45">
        <v>67748710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205749617</v>
      </c>
      <c r="K6" s="46">
        <v>205749617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/>
      <c r="K7" s="46"/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-742647457</v>
      </c>
      <c r="K8" s="46">
        <v>-715991165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26656292</v>
      </c>
      <c r="K9" s="46">
        <v>142474981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0</v>
      </c>
      <c r="K10" s="46">
        <v>0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-442492838</v>
      </c>
      <c r="K14" s="79">
        <f>SUM(K5:K13)</f>
        <v>-300017857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Tamara Leboš</cp:lastModifiedBy>
  <cp:lastPrinted>2014-10-29T13:14:10Z</cp:lastPrinted>
  <dcterms:created xsi:type="dcterms:W3CDTF">2008-10-17T11:51:54Z</dcterms:created>
  <dcterms:modified xsi:type="dcterms:W3CDTF">2015-02-02T07:44:31Z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