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84" windowHeight="3804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<sst xmlns="http://schemas.openxmlformats.org/spreadsheetml/2006/main" count="397" uniqueCount="342">
  <si>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</si>
  <si>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</si>
  <si>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</si>
  <si>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</si>
  <si>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</si>
  <si>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</si>
  <si>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</si>
  <si>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</si>
  <si>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</si>
  <si>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</si>
  <si>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</si>
  <si>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</si>
  <si>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</si>
  <si>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</si>
  <si>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</si>
  <si>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</si>
  <si>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</si>
  <si>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</si>
  <si>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</si>
  <si>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</si>
  <si>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</si>
  <si>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</si>
  <si>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</si>
  <si>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</si>
  <si>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</si>
  <si>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</si>
  <si>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</si>
  <si>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</si>
  <si>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</si>
  <si>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</si>
  <si>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</si>
  <si>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</si>
  <si>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</si>
  <si>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</si>
  <si>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</si>
  <si>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</si>
  <si>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</si>
  <si>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</si>
  <si>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</si>
  <si>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</si>
  <si>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</si>
  <si>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</si>
  <si>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</si>
  <si>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</si>
  <si>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</si>
  <si>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</si>
  <si>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</si>
  <si>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</si>
  <si>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</si>
  <si>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</si>
  <si>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</si>
  <si>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</si>
  <si>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</si>
  <si>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</si>
  <si>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</si>
  <si>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</si>
  <si>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</si>
  <si>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</si>
  <si>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</si>
  <si>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</si>
  <si>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</si>
  <si>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</si>
  <si>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</si>
  <si>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</si>
  <si>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</si>
  <si>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</si>
  <si>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</si>
  <si>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</si>
  <si>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</si>
  <si>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</si>
  <si>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</si>
  <si>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</si>
  <si>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</si>
  <si>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</si>
  <si>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</si>
  <si>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</si>
  <si>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</si>
  <si>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</si>
  <si>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</si>
  <si>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</si>
  <si>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</si>
  <si>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</si>
  <si>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</si>
  <si>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</si>
  <si>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</si>
  <si>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</si>
  <si>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</si>
  <si>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</si>
  <si>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</si>
  <si>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</si>
  <si>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</si>
  <si>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</si>
  <si>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</si>
  <si>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</si>
  <si>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</si>
  <si>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</si>
  <si>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</si>
  <si>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</si>
  <si>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</si>
  <si>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</si>
  <si>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</si>
  <si>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</si>
  <si>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</si>
  <si>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</si>
  <si>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</si>
  <si>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</si>
  <si>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</si>
  <si>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</si>
  <si>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</si>
  <si>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</si>
  <si>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</si>
  <si>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</si>
  <si>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</si>
  <si>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</si>
  <si>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</si>
  <si>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</si>
  <si>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</si>
  <si>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</si>
  <si>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</si>
  <si>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</si>
  <si>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</si>
  <si>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</si>
  <si>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</si>
  <si>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</si>
  <si>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</si>
  <si>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</si>
  <si>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</si>
  <si>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</si>
  <si>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</si>
  <si>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</si>
  <si>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</si>
  <si>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</si>
  <si>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</si>
  <si>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</si>
  <si>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</si>
  <si>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</si>
  <si>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</si>
  <si>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</si>
  <si>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</si>
  <si>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</si>
  <si>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</si>
  <si>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</si>
  <si>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</si>
  <si>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</si>
  <si>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</si>
  <si>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</si>
  <si>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</si>
  <si>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</si>
  <si>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</si>
  <si>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</si>
  <si>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</si>
  <si>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</si>
  <si>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</si>
  <si>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</si>
  <si>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</si>
  <si>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</si>
  <si>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</si>
  <si>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</si>
  <si>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</si>
  <si>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</si>
  <si>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</si>
  <si>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</si>
  <si>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</si>
  <si>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</si>
  <si>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</si>
  <si>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</si>
  <si>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</si>
  <si>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</si>
  <si>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</si>
  <si>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</si>
  <si>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</si>
  <si>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</si>
  <si>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</si>
  <si>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</si>
  <si>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</si>
  <si>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</si>
  <si>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</si>
  <si>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</si>
  <si>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</si>
  <si>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</si>
  <si>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</si>
  <si>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</si>
  <si>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</si>
  <si>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</si>
  <si>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</si>
  <si>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</si>
  <si>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</si>
  <si>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</si>
  <si>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</si>
  <si>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</si>
  <si>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</si>
  <si>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</si>
  <si>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</si>
  <si>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</si>
  <si>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</si>
  <si>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</si>
  <si>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</si>
  <si>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</si>
  <si>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</si>
  <si>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</si>
  <si>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</si>
  <si>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</si>
  <si>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</si>
  <si>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</si>
  <si>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</si>
  <si>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</si>
  <si>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</si>
  <si>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</si>
  <si>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</si>
  <si>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</si>
  <si>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</si>
  <si>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</si>
  <si>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</si>
  <si>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</si>
  <si>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</si>
  <si>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</si>
  <si>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</si>
  <si>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</si>
  <si>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</si>
  <si>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</si>
  <si>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</si>
  <si>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</si>
  <si>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</si>
  <si>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</si>
  <si>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</si>
  <si>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</si>
  <si>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</si>
  <si>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</si>
  <si>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</si>
  <si>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</si>
  <si>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</si>
  <si>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</si>
  <si>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</si>
  <si>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</si>
  <si>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</si>
  <si>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</si>
  <si>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</si>
  <si>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</si>
  <si>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</si>
  <si>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</si>
  <si>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</si>
  <si>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</si>
  <si>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</si>
  <si>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</si>
  <si>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</si>
  <si>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</si>
  <si>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</si>
  <si>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</si>
  <si>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</si>
  <si>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</si>
  <si>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</si>
  <si>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</si>
  <si>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</si>
  <si>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</si>
  <si>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</si>
  <si>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</si>
  <si>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</si>
  <si>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</si>
  <si>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</si>
  <si>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</si>
  <si>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</si>
  <si>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</si>
  <si>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</si>
  <si>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</si>
  <si>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</si>
  <si>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</si>
  <si>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</si>
  <si>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</si>
  <si>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</si>
  <si>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</si>
  <si>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</si>
  <si>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</si>
  <si>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</si>
  <si>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</si>
  <si>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</si>
  <si>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</si>
  <si>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</si>
  <si>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</si>
  <si>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</si>
  <si>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</si>
  <si>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</si>
  <si>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</si>
  <si>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</si>
  <si>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</si>
  <si>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</si>
  <si>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</si>
  <si>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</si>
  <si>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</si>
  <si>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</si>
  <si>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</si>
  <si>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</si>
  <si>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</si>
  <si>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</si>
  <si>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</si>
  <si>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</si>
  <si>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</si>
  <si>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</si>
  <si>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</si>
  <si>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</si>
  <si>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</si>
  <si>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</si>
  <si>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</si>
  <si>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</si>
  <si>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</si>
  <si>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</si>
  <si>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</si>
  <si>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</si>
  <si>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</si>
  <si>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</si>
  <si>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</si>
  <si>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</si>
  <si>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</si>
  <si>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</si>
  <si>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</si>
  <si>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</si>
  <si>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</si>
  <si>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</si>
  <si>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</si>
  <si>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</si>
  <si>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</si>
  <si>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</si>
  <si>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</si>
  <si>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</si>
  <si>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03299015</t>
  </si>
  <si>
    <t>080049595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</si>
  <si>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</si>
  <si>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</si>
  <si>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</si>
  <si>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</si>
  <si>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</si>
  <si>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</si>
  <si>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</si>
  <si>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</si>
  <si>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4717</t>
  </si>
  <si>
    <t>GORANKO FIŽULIĆ</t>
  </si>
  <si>
    <t>Obveznik:  MAGMA d.d.</t>
  </si>
  <si>
    <t>01.01.2014.</t>
  </si>
  <si>
    <t>31.03.2014.</t>
  </si>
  <si>
    <t>stanje na dan 31.03.2014.</t>
  </si>
  <si>
    <t>u razdoblju 01.01.2014. do 31.03.2014.</t>
  </si>
  <si>
    <t>3656888</t>
  </si>
  <si>
    <t>3656800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</si>
</sst>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hyperlink" Target="mailto:magma@magm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55">
      <selection activeCell="B58" sqref="B58:I5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336</v>
      </c>
      <c r="F2" s="12"/>
      <c r="G2" s="13" t="s">
        <v>250</v>
      </c>
      <c r="H2" s="120" t="s">
        <v>337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17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4" t="s">
        <v>263</v>
      </c>
      <c r="H26" s="14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8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28" t="s">
        <v>268</v>
      </c>
      <c r="B46" s="178"/>
      <c r="C46" s="143" t="s">
        <v>334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8"/>
      <c r="C48" s="179" t="s">
        <v>340</v>
      </c>
      <c r="D48" s="180"/>
      <c r="E48" s="181"/>
      <c r="F48" s="16"/>
      <c r="G48" s="51" t="s">
        <v>271</v>
      </c>
      <c r="H48" s="179" t="s">
        <v>341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8"/>
      <c r="C50" s="184" t="s">
        <v>329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9" t="s">
        <v>334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  <hyperlink ref="C50" r:id="rId3" display="magma@magm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15">
      <selection activeCell="A41" sqref="A41:H41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6164045</v>
      </c>
      <c r="K8" s="53">
        <f>K9+K16+K26+K35+K39</f>
        <v>6173845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5556080</v>
      </c>
      <c r="K9" s="53">
        <f>SUM(K10:K15)</f>
        <v>5556080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5556080</v>
      </c>
      <c r="K11" s="7">
        <v>5556080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123293</v>
      </c>
      <c r="K16" s="53">
        <f>SUM(K17:K25)</f>
        <v>123293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/>
      <c r="K17" s="7"/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/>
      <c r="K18" s="7"/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123293</v>
      </c>
      <c r="K20" s="7">
        <v>123293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484672</v>
      </c>
      <c r="K26" s="53">
        <f>SUM(K27:K34)</f>
        <v>494472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40000</v>
      </c>
      <c r="K27" s="7">
        <v>49800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9800</v>
      </c>
      <c r="K29" s="7">
        <v>9800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62628</v>
      </c>
      <c r="K31" s="7">
        <v>62628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372244</v>
      </c>
      <c r="K32" s="7">
        <v>372244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62608821</v>
      </c>
      <c r="K40" s="53">
        <f>K41+K49+K56+K64</f>
        <v>63382606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+J42+J43+J44+J45+J46+J47+J48</f>
        <v>48491163</v>
      </c>
      <c r="K41" s="53">
        <f>+K42+K43+K44+K45+K46+K47+K48</f>
        <v>48491163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/>
      <c r="K42" s="7"/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48491163</v>
      </c>
      <c r="K47" s="7">
        <v>48491163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14104282</v>
      </c>
      <c r="K49" s="53">
        <f>SUM(K50:K55)</f>
        <v>14363598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12067742</v>
      </c>
      <c r="K50" s="7">
        <v>12067742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156533</v>
      </c>
      <c r="K51" s="7">
        <v>331020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/>
      <c r="K54" s="7"/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1880007</v>
      </c>
      <c r="K55" s="7">
        <f>1339266+559126+66444</f>
        <v>1964836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10000</v>
      </c>
      <c r="K56" s="53">
        <f>SUM(K57:K63)</f>
        <v>523000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>
        <v>513000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10000</v>
      </c>
      <c r="K62" s="7">
        <v>10000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3376</v>
      </c>
      <c r="K64" s="7">
        <f>4654+191</f>
        <v>4845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/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68772866</v>
      </c>
      <c r="K66" s="53">
        <f>K7+K8+K40+K65</f>
        <v>69556451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-442492838</v>
      </c>
      <c r="K69" s="54">
        <f>K70+K71+K72+K78+K79+K82+K85</f>
        <v>-393591732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67748710</v>
      </c>
      <c r="K70" s="7">
        <v>67748710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205749617</v>
      </c>
      <c r="K71" s="7">
        <v>205749617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13189877</v>
      </c>
      <c r="K74" s="7">
        <v>13189877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13189877</v>
      </c>
      <c r="K75" s="7">
        <v>13189877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-742647457</v>
      </c>
      <c r="K79" s="53">
        <f>K80-K81</f>
        <v>-715991165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742647457</v>
      </c>
      <c r="K81" s="7">
        <v>715991165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26656292</v>
      </c>
      <c r="K82" s="53">
        <f>K83-K84</f>
        <v>48901106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26656292</v>
      </c>
      <c r="K83" s="7">
        <v>48901106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0</v>
      </c>
      <c r="K90" s="53">
        <f>SUM(K91:K99)</f>
        <v>42301280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>
        <v>42301280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509026872</v>
      </c>
      <c r="K100" s="53">
        <f>SUM(K101:K112)</f>
        <v>418719970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80389</v>
      </c>
      <c r="K102" s="7">
        <v>106122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138340307</v>
      </c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204798571</v>
      </c>
      <c r="K105" s="7">
        <v>204508718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75760080</v>
      </c>
      <c r="K106" s="7">
        <v>75760080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15006109</v>
      </c>
      <c r="K108" s="7">
        <v>14847307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75041416</v>
      </c>
      <c r="K109" s="7">
        <v>75006553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>
        <v>48491163</v>
      </c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/>
      <c r="K112" s="7">
        <v>27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2238832</v>
      </c>
      <c r="K113" s="7">
        <v>2126933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68772866</v>
      </c>
      <c r="K114" s="53">
        <f>K69+K86+K90+K100+K113</f>
        <v>69556451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43">
      <selection activeCell="M49" sqref="M49"/>
    </sheetView>
  </sheetViews>
  <sheetFormatPr defaultColWidth="9.140625" defaultRowHeight="12.75"/>
  <cols>
    <col min="1" max="9" width="9.140625" style="52" customWidth="1"/>
    <col min="10" max="12" width="10.421875" style="52" bestFit="1" customWidth="1"/>
    <col min="13" max="13" width="10.1406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4169</v>
      </c>
      <c r="K7" s="54">
        <f>SUM(K8:K9)</f>
        <v>4169</v>
      </c>
      <c r="L7" s="54">
        <f>SUM(L8:L9)</f>
        <v>47659738</v>
      </c>
      <c r="M7" s="54">
        <f>SUM(M8:M9)</f>
        <v>47659738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/>
      <c r="K8" s="7"/>
      <c r="L8" s="7">
        <v>112526</v>
      </c>
      <c r="M8" s="7">
        <v>112526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4169</v>
      </c>
      <c r="K9" s="7">
        <v>4169</v>
      </c>
      <c r="L9" s="7">
        <v>47547212</v>
      </c>
      <c r="M9" s="7">
        <v>47547212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820981</v>
      </c>
      <c r="K10" s="53">
        <f>K11+K12+K16+K20+K21+K22+K25+K26</f>
        <v>820981</v>
      </c>
      <c r="L10" s="53">
        <f>L11+L12+L16+L20+L21+L22+L25+L26</f>
        <v>309238</v>
      </c>
      <c r="M10" s="53">
        <f>M11+M12+M16+M20+M21+M22+M25+M26</f>
        <v>309238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0</v>
      </c>
      <c r="K12" s="53">
        <f>SUM(K13:K15)</f>
        <v>0</v>
      </c>
      <c r="L12" s="53">
        <f>SUM(L13:L15)</f>
        <v>1398</v>
      </c>
      <c r="M12" s="53">
        <f>SUM(M13:M15)</f>
        <v>1398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/>
      <c r="K13" s="7"/>
      <c r="L13" s="7"/>
      <c r="M13" s="7"/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>
        <v>1398</v>
      </c>
      <c r="M14" s="7">
        <v>1398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/>
      <c r="K15" s="7"/>
      <c r="L15" s="7"/>
      <c r="M15" s="7"/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383148</v>
      </c>
      <c r="K16" s="53">
        <f>SUM(K17:K19)</f>
        <v>383148</v>
      </c>
      <c r="L16" s="53">
        <f>SUM(L17:L19)</f>
        <v>3501</v>
      </c>
      <c r="M16" s="53">
        <f>SUM(M17:M19)</f>
        <v>3501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187929</v>
      </c>
      <c r="K17" s="7">
        <v>187929</v>
      </c>
      <c r="L17" s="7">
        <v>2476</v>
      </c>
      <c r="M17" s="7">
        <v>2476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144665</v>
      </c>
      <c r="K18" s="7">
        <v>144665</v>
      </c>
      <c r="L18" s="7">
        <v>563</v>
      </c>
      <c r="M18" s="7">
        <f>456+107</f>
        <v>563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50554</v>
      </c>
      <c r="K19" s="7">
        <v>50554</v>
      </c>
      <c r="L19" s="7">
        <v>462</v>
      </c>
      <c r="M19" s="7">
        <v>462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/>
      <c r="K20" s="7"/>
      <c r="L20" s="7"/>
      <c r="M20" s="7"/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437833</v>
      </c>
      <c r="K21" s="7">
        <v>437833</v>
      </c>
      <c r="L21" s="7">
        <v>304339</v>
      </c>
      <c r="M21" s="7">
        <f>29158+55369+160034+32722+27057-1</f>
        <v>304339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119</v>
      </c>
      <c r="K27" s="53">
        <f>SUM(K28:K32)</f>
        <v>119</v>
      </c>
      <c r="L27" s="53">
        <f>SUM(L28:L32)</f>
        <v>1550666</v>
      </c>
      <c r="M27" s="53">
        <f>SUM(M28:M32)</f>
        <v>1550666</v>
      </c>
    </row>
    <row r="28" spans="1:13" ht="21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29.25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119</v>
      </c>
      <c r="K29" s="7">
        <v>119</v>
      </c>
      <c r="L29" s="7">
        <v>83</v>
      </c>
      <c r="M29" s="7">
        <v>83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>
        <v>1550583</v>
      </c>
      <c r="M32" s="7">
        <v>1550583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13233</v>
      </c>
      <c r="K33" s="53">
        <f>SUM(K34:K37)</f>
        <v>13233</v>
      </c>
      <c r="L33" s="53">
        <f>SUM(L34:L37)</f>
        <v>60</v>
      </c>
      <c r="M33" s="53">
        <f>SUM(M34:M37)</f>
        <v>60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13233</v>
      </c>
      <c r="K35" s="7">
        <v>13233</v>
      </c>
      <c r="L35" s="7">
        <v>60</v>
      </c>
      <c r="M35" s="7">
        <v>60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4288</v>
      </c>
      <c r="K42" s="53">
        <f>K7+K27+K38+K40</f>
        <v>4288</v>
      </c>
      <c r="L42" s="53">
        <f>L7+L27+L38+L40</f>
        <v>49210404</v>
      </c>
      <c r="M42" s="53">
        <f>M7+M27+M38+M40</f>
        <v>49210404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834214</v>
      </c>
      <c r="K43" s="53">
        <f>K10+K33+K39+K41</f>
        <v>834214</v>
      </c>
      <c r="L43" s="53">
        <f>L10+L33+L39+L41</f>
        <v>309298</v>
      </c>
      <c r="M43" s="53">
        <f>M10+M33+M39+M41</f>
        <v>309298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-829926</v>
      </c>
      <c r="K44" s="53">
        <f>K42-K43</f>
        <v>-829926</v>
      </c>
      <c r="L44" s="53">
        <f>L42-L43</f>
        <v>48901106</v>
      </c>
      <c r="M44" s="53">
        <f>M42-M43</f>
        <v>48901106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48901106</v>
      </c>
      <c r="M45" s="53">
        <f>IF(M42&gt;M43,M42-M43,0)</f>
        <v>48901106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829926</v>
      </c>
      <c r="K46" s="53">
        <f>IF(K43&gt;K42,K43-K42,0)</f>
        <v>829926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-829926</v>
      </c>
      <c r="K48" s="53">
        <f>K44-K47</f>
        <v>-829926</v>
      </c>
      <c r="L48" s="53">
        <f>L44-L47</f>
        <v>48901106</v>
      </c>
      <c r="M48" s="53">
        <f>M44-M47</f>
        <v>48901106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48901106</v>
      </c>
      <c r="M49" s="53">
        <f>IF(M48&gt;0,M48,0)</f>
        <v>48901106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829926</v>
      </c>
      <c r="K50" s="61">
        <f>IF(K48&lt;0,-K48,0)</f>
        <v>829926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K13" sqref="K13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9.421875" style="52" bestFit="1" customWidth="1"/>
    <col min="12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339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335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-829926</v>
      </c>
      <c r="K7" s="7">
        <v>48901106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7"/>
      <c r="K8" s="7"/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751317</v>
      </c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7">
        <v>93162</v>
      </c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7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7"/>
      <c r="K12" s="7">
        <v>40115998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14553</v>
      </c>
      <c r="K13" s="53">
        <f>SUM(K7:K12)</f>
        <v>89017104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>
        <v>90306902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>
        <v>259316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/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0</v>
      </c>
      <c r="K18" s="53">
        <f>SUM(K14:K17)</f>
        <v>90566218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14553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1549114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1550583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1550583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1550583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14553</v>
      </c>
      <c r="K47" s="53">
        <f>IF(K19-K20+K32-K33+K45-K46&gt;0,K19-K20+K32-K33+K45-K46,0)</f>
        <v>1469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653</v>
      </c>
      <c r="K49" s="7">
        <v>3376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>
        <v>14553</v>
      </c>
      <c r="K50" s="7">
        <v>1469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1">
        <f>J49+J50-J51</f>
        <v>15206</v>
      </c>
      <c r="K52" s="61">
        <f>K49+K50-K51</f>
        <v>4845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4" sqref="J14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68" t="s">
        <v>282</v>
      </c>
      <c r="D2" s="268"/>
      <c r="E2" s="77">
        <v>41640</v>
      </c>
      <c r="F2" s="43" t="s">
        <v>250</v>
      </c>
      <c r="G2" s="269">
        <v>41729</v>
      </c>
      <c r="H2" s="270"/>
      <c r="I2" s="74"/>
      <c r="J2" s="74"/>
      <c r="K2" s="74"/>
      <c r="L2" s="78"/>
    </row>
    <row r="3" spans="1:11" ht="21.7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67748710</v>
      </c>
      <c r="K5" s="45">
        <v>67748710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205749617</v>
      </c>
      <c r="K6" s="46">
        <v>205749617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-742869140</v>
      </c>
      <c r="K8" s="46">
        <v>-715991165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-829926</v>
      </c>
      <c r="K9" s="46">
        <v>48901106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0</v>
      </c>
      <c r="K10" s="46">
        <v>0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-470200739</v>
      </c>
      <c r="K14" s="79">
        <f>SUM(K5:K13)</f>
        <v>-393591732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Tamara Leboš</cp:lastModifiedBy>
  <cp:lastPrinted>2011-03-28T11:17:39Z</cp:lastPrinted>
  <dcterms:created xsi:type="dcterms:W3CDTF">2008-10-17T11:51:54Z</dcterms:created>
  <dcterms:modified xsi:type="dcterms:W3CDTF">2014-04-29T18:25:31Z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